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Galant B40\Desktop\МП БГС 17-24\34. МП БГС 17-25 в ред. июня\Постановление от июня\"/>
    </mc:Choice>
  </mc:AlternateContent>
  <xr:revisionPtr revIDLastSave="0" documentId="13_ncr:1_{2823735B-E819-4088-B870-EB32080FBF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Titles" localSheetId="0">Лист3!$17:$17</definedName>
    <definedName name="_xlnm.Print_Area" localSheetId="0">Лист3!$A$5:$P$110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9" i="3" l="1"/>
  <c r="L38" i="3"/>
  <c r="L65" i="3"/>
  <c r="L54" i="3"/>
  <c r="L74" i="3"/>
  <c r="L66" i="3"/>
  <c r="L78" i="3"/>
  <c r="L85" i="3" l="1"/>
  <c r="L70" i="3"/>
  <c r="Q67" i="3"/>
  <c r="L101" i="3"/>
  <c r="E101" i="3" s="1"/>
  <c r="L98" i="3" l="1"/>
  <c r="L80" i="3"/>
  <c r="L94" i="3"/>
  <c r="L73" i="3"/>
  <c r="E47" i="3" l="1"/>
  <c r="E48" i="3"/>
  <c r="E49" i="3"/>
  <c r="E50" i="3"/>
  <c r="E51" i="3"/>
  <c r="E52" i="3"/>
  <c r="E53" i="3"/>
  <c r="E55" i="3"/>
  <c r="E63" i="3"/>
  <c r="E64" i="3"/>
  <c r="E69" i="3"/>
  <c r="E75" i="3"/>
  <c r="E79" i="3"/>
  <c r="E82" i="3"/>
  <c r="E86" i="3"/>
  <c r="E88" i="3"/>
  <c r="N65" i="3" l="1"/>
  <c r="M100" i="3" l="1"/>
  <c r="M99" i="3"/>
  <c r="M96" i="3"/>
  <c r="M95" i="3" s="1"/>
  <c r="M94" i="3"/>
  <c r="M90" i="3" s="1"/>
  <c r="M89" i="3" s="1"/>
  <c r="M84" i="3"/>
  <c r="M83" i="3"/>
  <c r="M77" i="3"/>
  <c r="M76" i="3" s="1"/>
  <c r="M72" i="3"/>
  <c r="M71" i="3" s="1"/>
  <c r="M60" i="3"/>
  <c r="M59" i="3"/>
  <c r="M104" i="3" s="1"/>
  <c r="M109" i="3" s="1"/>
  <c r="M58" i="3"/>
  <c r="M45" i="3"/>
  <c r="M43" i="3" s="1"/>
  <c r="M44" i="3"/>
  <c r="M34" i="3"/>
  <c r="M33" i="3"/>
  <c r="M23" i="3"/>
  <c r="M19" i="3" s="1"/>
  <c r="M22" i="3"/>
  <c r="M30" i="3" s="1"/>
  <c r="M21" i="3"/>
  <c r="M29" i="3" s="1"/>
  <c r="M20" i="3"/>
  <c r="M28" i="3" s="1"/>
  <c r="M27" i="3" l="1"/>
  <c r="M105" i="3"/>
  <c r="M110" i="3" s="1"/>
  <c r="M57" i="3"/>
  <c r="M108" i="3"/>
  <c r="M103" i="3"/>
  <c r="M107" i="3" s="1"/>
  <c r="M106" i="3" s="1"/>
  <c r="M32" i="3"/>
  <c r="K38" i="3"/>
  <c r="K54" i="3"/>
  <c r="K85" i="3"/>
  <c r="K66" i="3"/>
  <c r="K65" i="3"/>
  <c r="K37" i="3"/>
  <c r="K70" i="3"/>
  <c r="K39" i="3"/>
  <c r="G100" i="3"/>
  <c r="G99" i="3" s="1"/>
  <c r="H100" i="3"/>
  <c r="H99" i="3" s="1"/>
  <c r="I100" i="3"/>
  <c r="I99" i="3" s="1"/>
  <c r="J100" i="3"/>
  <c r="J99" i="3" s="1"/>
  <c r="K100" i="3"/>
  <c r="K99" i="3" s="1"/>
  <c r="L100" i="3"/>
  <c r="L99" i="3" s="1"/>
  <c r="N100" i="3"/>
  <c r="N99" i="3" s="1"/>
  <c r="F100" i="3"/>
  <c r="F99" i="3" s="1"/>
  <c r="M102" i="3" l="1"/>
  <c r="E99" i="3"/>
  <c r="E100" i="3"/>
  <c r="L87" i="3"/>
  <c r="L40" i="3"/>
  <c r="L97" i="3"/>
  <c r="K97" i="3"/>
  <c r="K78" i="3"/>
  <c r="K74" i="3"/>
  <c r="K25" i="3"/>
  <c r="K24" i="3"/>
  <c r="K26" i="3"/>
  <c r="K41" i="3"/>
  <c r="E41" i="3" s="1"/>
  <c r="K80" i="3"/>
  <c r="K67" i="3"/>
  <c r="K42" i="3"/>
  <c r="E42" i="3" s="1"/>
  <c r="K23" i="3" l="1"/>
  <c r="K19" i="3"/>
  <c r="H59" i="3"/>
  <c r="H104" i="3" s="1"/>
  <c r="H109" i="3" s="1"/>
  <c r="I59" i="3"/>
  <c r="I104" i="3" s="1"/>
  <c r="I109" i="3" s="1"/>
  <c r="J59" i="3"/>
  <c r="J104" i="3" s="1"/>
  <c r="J109" i="3" s="1"/>
  <c r="K59" i="3"/>
  <c r="K104" i="3" s="1"/>
  <c r="K109" i="3" s="1"/>
  <c r="L59" i="3"/>
  <c r="L104" i="3" s="1"/>
  <c r="L109" i="3" s="1"/>
  <c r="N59" i="3"/>
  <c r="N104" i="3" s="1"/>
  <c r="N109" i="3" s="1"/>
  <c r="F59" i="3"/>
  <c r="F104" i="3" s="1"/>
  <c r="F109" i="3" s="1"/>
  <c r="G58" i="3"/>
  <c r="K58" i="3"/>
  <c r="L58" i="3"/>
  <c r="N58" i="3"/>
  <c r="F58" i="3"/>
  <c r="F60" i="3"/>
  <c r="E26" i="3"/>
  <c r="E22" i="3" s="1"/>
  <c r="E25" i="3"/>
  <c r="E21" i="3" s="1"/>
  <c r="E24" i="3"/>
  <c r="E20" i="3" s="1"/>
  <c r="N23" i="3"/>
  <c r="N19" i="3" s="1"/>
  <c r="L23" i="3"/>
  <c r="L19" i="3" s="1"/>
  <c r="J23" i="3"/>
  <c r="J19" i="3" s="1"/>
  <c r="I23" i="3"/>
  <c r="I19" i="3" s="1"/>
  <c r="H23" i="3"/>
  <c r="H19" i="3" s="1"/>
  <c r="G23" i="3"/>
  <c r="G19" i="3" s="1"/>
  <c r="F23" i="3"/>
  <c r="F19" i="3" s="1"/>
  <c r="N22" i="3"/>
  <c r="N30" i="3" s="1"/>
  <c r="L22" i="3"/>
  <c r="L30" i="3" s="1"/>
  <c r="K22" i="3"/>
  <c r="K30" i="3" s="1"/>
  <c r="J22" i="3"/>
  <c r="J30" i="3" s="1"/>
  <c r="I22" i="3"/>
  <c r="I30" i="3" s="1"/>
  <c r="H22" i="3"/>
  <c r="H30" i="3" s="1"/>
  <c r="G22" i="3"/>
  <c r="G30" i="3" s="1"/>
  <c r="F22" i="3"/>
  <c r="F30" i="3" s="1"/>
  <c r="N21" i="3"/>
  <c r="N29" i="3" s="1"/>
  <c r="L21" i="3"/>
  <c r="L29" i="3" s="1"/>
  <c r="K21" i="3"/>
  <c r="K29" i="3" s="1"/>
  <c r="J21" i="3"/>
  <c r="J29" i="3" s="1"/>
  <c r="I21" i="3"/>
  <c r="I29" i="3" s="1"/>
  <c r="H21" i="3"/>
  <c r="H29" i="3" s="1"/>
  <c r="G21" i="3"/>
  <c r="G29" i="3" s="1"/>
  <c r="F21" i="3"/>
  <c r="F29" i="3" s="1"/>
  <c r="N20" i="3"/>
  <c r="N28" i="3" s="1"/>
  <c r="N108" i="3" s="1"/>
  <c r="L20" i="3"/>
  <c r="L28" i="3" s="1"/>
  <c r="L108" i="3" s="1"/>
  <c r="K20" i="3"/>
  <c r="K28" i="3" s="1"/>
  <c r="K108" i="3" s="1"/>
  <c r="J20" i="3"/>
  <c r="J28" i="3" s="1"/>
  <c r="J108" i="3" s="1"/>
  <c r="I20" i="3"/>
  <c r="I28" i="3" s="1"/>
  <c r="I108" i="3" s="1"/>
  <c r="H20" i="3"/>
  <c r="H28" i="3" s="1"/>
  <c r="H108" i="3" s="1"/>
  <c r="G20" i="3"/>
  <c r="G28" i="3" s="1"/>
  <c r="G108" i="3" s="1"/>
  <c r="F20" i="3"/>
  <c r="F28" i="3" s="1"/>
  <c r="F108" i="3" s="1"/>
  <c r="J94" i="3"/>
  <c r="J66" i="3"/>
  <c r="J61" i="3"/>
  <c r="J54" i="3"/>
  <c r="J38" i="3"/>
  <c r="J39" i="3"/>
  <c r="G72" i="3"/>
  <c r="G71" i="3" s="1"/>
  <c r="L72" i="3"/>
  <c r="L71" i="3" s="1"/>
  <c r="N72" i="3"/>
  <c r="N71" i="3" s="1"/>
  <c r="F72" i="3"/>
  <c r="F71" i="3" s="1"/>
  <c r="L45" i="3"/>
  <c r="N45" i="3"/>
  <c r="F45" i="3"/>
  <c r="G44" i="3"/>
  <c r="H44" i="3"/>
  <c r="I44" i="3"/>
  <c r="J44" i="3"/>
  <c r="K44" i="3"/>
  <c r="L44" i="3"/>
  <c r="N44" i="3"/>
  <c r="F44" i="3"/>
  <c r="G46" i="3"/>
  <c r="E46" i="3" s="1"/>
  <c r="F57" i="3" l="1"/>
  <c r="E23" i="3"/>
  <c r="E19" i="3" s="1"/>
  <c r="H27" i="3"/>
  <c r="I27" i="3"/>
  <c r="J27" i="3"/>
  <c r="K27" i="3"/>
  <c r="E29" i="3"/>
  <c r="L27" i="3"/>
  <c r="E30" i="3"/>
  <c r="E28" i="3"/>
  <c r="F27" i="3"/>
  <c r="G27" i="3"/>
  <c r="N27" i="3"/>
  <c r="K34" i="3"/>
  <c r="G33" i="3"/>
  <c r="G105" i="3" s="1"/>
  <c r="G110" i="3" s="1"/>
  <c r="H33" i="3"/>
  <c r="I33" i="3"/>
  <c r="K33" i="3"/>
  <c r="K105" i="3" s="1"/>
  <c r="L33" i="3"/>
  <c r="L105" i="3" s="1"/>
  <c r="L110" i="3" s="1"/>
  <c r="N33" i="3"/>
  <c r="N105" i="3" s="1"/>
  <c r="N110" i="3" s="1"/>
  <c r="F33" i="3"/>
  <c r="F105" i="3" s="1"/>
  <c r="F110" i="3" s="1"/>
  <c r="H96" i="3"/>
  <c r="K96" i="3"/>
  <c r="L96" i="3"/>
  <c r="N96" i="3"/>
  <c r="F96" i="3"/>
  <c r="H90" i="3"/>
  <c r="N84" i="3"/>
  <c r="N83" i="3" s="1"/>
  <c r="L84" i="3"/>
  <c r="L83" i="3" s="1"/>
  <c r="K84" i="3"/>
  <c r="K83" i="3" s="1"/>
  <c r="J84" i="3"/>
  <c r="J83" i="3" s="1"/>
  <c r="F84" i="3"/>
  <c r="F83" i="3" s="1"/>
  <c r="H77" i="3"/>
  <c r="H76" i="3" s="1"/>
  <c r="L77" i="3"/>
  <c r="L76" i="3" s="1"/>
  <c r="N77" i="3"/>
  <c r="N76" i="3" s="1"/>
  <c r="F77" i="3"/>
  <c r="K72" i="3"/>
  <c r="J74" i="3"/>
  <c r="E74" i="3" s="1"/>
  <c r="I62" i="3"/>
  <c r="E62" i="3" s="1"/>
  <c r="G61" i="3"/>
  <c r="E61" i="3" s="1"/>
  <c r="I56" i="3"/>
  <c r="G56" i="3"/>
  <c r="L34" i="3"/>
  <c r="N34" i="3"/>
  <c r="F34" i="3"/>
  <c r="N60" i="3"/>
  <c r="N57" i="3" s="1"/>
  <c r="L60" i="3"/>
  <c r="L57" i="3" s="1"/>
  <c r="N90" i="3"/>
  <c r="N89" i="3" s="1"/>
  <c r="L90" i="3"/>
  <c r="L89" i="3" s="1"/>
  <c r="K45" i="3"/>
  <c r="K60" i="3"/>
  <c r="K57" i="3" s="1"/>
  <c r="G45" i="3" l="1"/>
  <c r="G43" i="3" s="1"/>
  <c r="E56" i="3"/>
  <c r="N103" i="3"/>
  <c r="N107" i="3" s="1"/>
  <c r="L103" i="3"/>
  <c r="L107" i="3" s="1"/>
  <c r="K110" i="3"/>
  <c r="E27" i="3"/>
  <c r="K71" i="3"/>
  <c r="H89" i="3"/>
  <c r="F76" i="3"/>
  <c r="N43" i="3"/>
  <c r="F43" i="3"/>
  <c r="E44" i="3"/>
  <c r="L43" i="3"/>
  <c r="K43" i="3"/>
  <c r="N32" i="3"/>
  <c r="F32" i="3"/>
  <c r="L32" i="3"/>
  <c r="K32" i="3"/>
  <c r="J45" i="3"/>
  <c r="J81" i="3"/>
  <c r="E81" i="3" s="1"/>
  <c r="J80" i="3"/>
  <c r="E80" i="3" s="1"/>
  <c r="J60" i="3"/>
  <c r="J78" i="3"/>
  <c r="J73" i="3"/>
  <c r="J72" i="3" s="1"/>
  <c r="J67" i="3"/>
  <c r="J58" i="3" s="1"/>
  <c r="J97" i="3"/>
  <c r="J96" i="3" s="1"/>
  <c r="J57" i="3" l="1"/>
  <c r="N102" i="3"/>
  <c r="L102" i="3"/>
  <c r="J71" i="3"/>
  <c r="E108" i="3"/>
  <c r="J77" i="3"/>
  <c r="J43" i="3"/>
  <c r="J35" i="3"/>
  <c r="J34" i="3" s="1"/>
  <c r="I67" i="3"/>
  <c r="I58" i="3" l="1"/>
  <c r="N106" i="3"/>
  <c r="L106" i="3"/>
  <c r="J76" i="3"/>
  <c r="J36" i="3"/>
  <c r="E36" i="3" s="1"/>
  <c r="J40" i="3"/>
  <c r="E40" i="3" s="1"/>
  <c r="I105" i="3" l="1"/>
  <c r="I110" i="3" s="1"/>
  <c r="J33" i="3"/>
  <c r="J105" i="3" s="1"/>
  <c r="J110" i="3" s="1"/>
  <c r="I73" i="3"/>
  <c r="I72" i="3" s="1"/>
  <c r="I85" i="3"/>
  <c r="I98" i="3"/>
  <c r="I54" i="3"/>
  <c r="I45" i="3" s="1"/>
  <c r="I71" i="3" l="1"/>
  <c r="I43" i="3"/>
  <c r="E33" i="3"/>
  <c r="J32" i="3"/>
  <c r="I87" i="3"/>
  <c r="I84" i="3" s="1"/>
  <c r="I83" i="3" l="1"/>
  <c r="I38" i="3"/>
  <c r="I66" i="3" l="1"/>
  <c r="I94" i="3" l="1"/>
  <c r="I65" i="3"/>
  <c r="I90" i="3" l="1"/>
  <c r="I89" i="3"/>
  <c r="I70" i="3"/>
  <c r="I60" i="3" s="1"/>
  <c r="I57" i="3" s="1"/>
  <c r="I39" i="3" l="1"/>
  <c r="I34" i="3" l="1"/>
  <c r="I32" i="3" l="1"/>
  <c r="I97" i="3"/>
  <c r="I96" i="3" l="1"/>
  <c r="E97" i="3"/>
  <c r="K94" i="3"/>
  <c r="J90" i="3"/>
  <c r="K90" i="3" l="1"/>
  <c r="E94" i="3"/>
  <c r="J103" i="3"/>
  <c r="J107" i="3" s="1"/>
  <c r="K89" i="3"/>
  <c r="J89" i="3"/>
  <c r="H54" i="3"/>
  <c r="H45" i="3" l="1"/>
  <c r="E45" i="3" s="1"/>
  <c r="E54" i="3"/>
  <c r="J102" i="3"/>
  <c r="J106" i="3"/>
  <c r="H43" i="3"/>
  <c r="E43" i="3" s="1"/>
  <c r="I78" i="3"/>
  <c r="I77" i="3" s="1"/>
  <c r="I103" i="3" l="1"/>
  <c r="I107" i="3" s="1"/>
  <c r="I76" i="3"/>
  <c r="H67" i="3"/>
  <c r="E67" i="3" s="1"/>
  <c r="I102" i="3" l="1"/>
  <c r="H58" i="3"/>
  <c r="I106" i="3"/>
  <c r="H39" i="3"/>
  <c r="H38" i="3"/>
  <c r="H66" i="3"/>
  <c r="E66" i="3" s="1"/>
  <c r="E58" i="3" l="1"/>
  <c r="H105" i="3"/>
  <c r="H65" i="3"/>
  <c r="H60" i="3" s="1"/>
  <c r="H57" i="3" s="1"/>
  <c r="H110" i="3" l="1"/>
  <c r="E110" i="3" s="1"/>
  <c r="E105" i="3"/>
  <c r="H37" i="3"/>
  <c r="H73" i="3"/>
  <c r="E73" i="3" s="1"/>
  <c r="H34" i="3" l="1"/>
  <c r="E37" i="3"/>
  <c r="H72" i="3"/>
  <c r="H32" i="3"/>
  <c r="H71" i="3" l="1"/>
  <c r="E72" i="3"/>
  <c r="E71" i="3" s="1"/>
  <c r="L95" i="3" l="1"/>
  <c r="N95" i="3"/>
  <c r="G68" i="3" l="1"/>
  <c r="G59" i="3" l="1"/>
  <c r="G104" i="3" s="1"/>
  <c r="E68" i="3"/>
  <c r="E59" i="3"/>
  <c r="G109" i="3" l="1"/>
  <c r="E109" i="3" s="1"/>
  <c r="E104" i="3"/>
  <c r="H85" i="3" l="1"/>
  <c r="H84" i="3" s="1"/>
  <c r="H103" i="3" s="1"/>
  <c r="H107" i="3" s="1"/>
  <c r="H102" i="3" l="1"/>
  <c r="H106" i="3"/>
  <c r="H83" i="3"/>
  <c r="G65" i="3"/>
  <c r="E65" i="3" s="1"/>
  <c r="G78" i="3" l="1"/>
  <c r="G39" i="3"/>
  <c r="E39" i="3" s="1"/>
  <c r="G77" i="3" l="1"/>
  <c r="E78" i="3"/>
  <c r="G76" i="3"/>
  <c r="G38" i="3"/>
  <c r="E38" i="3" s="1"/>
  <c r="G85" i="3" l="1"/>
  <c r="E85" i="3" s="1"/>
  <c r="K77" i="3" l="1"/>
  <c r="K103" i="3" s="1"/>
  <c r="K107" i="3" s="1"/>
  <c r="K106" i="3" s="1"/>
  <c r="K102" i="3" l="1"/>
  <c r="K76" i="3"/>
  <c r="E76" i="3" s="1"/>
  <c r="E77" i="3"/>
  <c r="G93" i="3"/>
  <c r="G98" i="3" l="1"/>
  <c r="G96" i="3" l="1"/>
  <c r="E98" i="3"/>
  <c r="G87" i="3"/>
  <c r="E87" i="3" s="1"/>
  <c r="G84" i="3" l="1"/>
  <c r="G83" i="3" l="1"/>
  <c r="E83" i="3" s="1"/>
  <c r="E84" i="3"/>
  <c r="G91" i="3"/>
  <c r="G90" i="3" l="1"/>
  <c r="E91" i="3"/>
  <c r="G89" i="3"/>
  <c r="J95" i="3" l="1"/>
  <c r="G35" i="3"/>
  <c r="E35" i="3" s="1"/>
  <c r="K95" i="3" l="1"/>
  <c r="G34" i="3"/>
  <c r="F93" i="3"/>
  <c r="E93" i="3" s="1"/>
  <c r="F92" i="3"/>
  <c r="E92" i="3" s="1"/>
  <c r="G70" i="3"/>
  <c r="G60" i="3" l="1"/>
  <c r="G57" i="3" s="1"/>
  <c r="E70" i="3"/>
  <c r="G103" i="3"/>
  <c r="G107" i="3" s="1"/>
  <c r="G106" i="3" s="1"/>
  <c r="E60" i="3"/>
  <c r="E57" i="3" s="1"/>
  <c r="F90" i="3"/>
  <c r="F103" i="3" s="1"/>
  <c r="F107" i="3" s="1"/>
  <c r="F95" i="3"/>
  <c r="G95" i="3"/>
  <c r="I95" i="3"/>
  <c r="G32" i="3"/>
  <c r="E32" i="3" s="1"/>
  <c r="E34" i="3"/>
  <c r="G102" i="3" l="1"/>
  <c r="F102" i="3"/>
  <c r="E102" i="3" s="1"/>
  <c r="E103" i="3"/>
  <c r="F89" i="3"/>
  <c r="E89" i="3" s="1"/>
  <c r="E90" i="3"/>
  <c r="E96" i="3"/>
  <c r="H95" i="3"/>
  <c r="E95" i="3" s="1"/>
  <c r="E107" i="3" l="1"/>
  <c r="E106" i="3" s="1"/>
  <c r="F106" i="3" l="1"/>
</calcChain>
</file>

<file path=xl/sharedStrings.xml><?xml version="1.0" encoding="utf-8"?>
<sst xmlns="http://schemas.openxmlformats.org/spreadsheetml/2006/main" count="336" uniqueCount="177">
  <si>
    <t>№ п/п</t>
  </si>
  <si>
    <t>Объем финансирования по годам (тыс.руб.)</t>
  </si>
  <si>
    <t>1.1.</t>
  </si>
  <si>
    <t>2.1.</t>
  </si>
  <si>
    <t>3.1.</t>
  </si>
  <si>
    <t>3.2.</t>
  </si>
  <si>
    <t>3.3.</t>
  </si>
  <si>
    <t>4.1.</t>
  </si>
  <si>
    <t>4.2.</t>
  </si>
  <si>
    <t>5.1.</t>
  </si>
  <si>
    <t>5.2.</t>
  </si>
  <si>
    <t>5.3.</t>
  </si>
  <si>
    <t>6.2.</t>
  </si>
  <si>
    <t>6.3.</t>
  </si>
  <si>
    <t>Срок исполнения</t>
  </si>
  <si>
    <t>Источники финансирования</t>
  </si>
  <si>
    <t>4.3.</t>
  </si>
  <si>
    <t>Всего  (тыс.руб.)</t>
  </si>
  <si>
    <t xml:space="preserve"> Бюджет МО Сертолово</t>
  </si>
  <si>
    <t>2.2.</t>
  </si>
  <si>
    <t>2.3.</t>
  </si>
  <si>
    <t>2.4.</t>
  </si>
  <si>
    <t>Бюджет МО Сертолово</t>
  </si>
  <si>
    <t>Обеспечение исправного и работоспособного состояния водоотводных сооружений</t>
  </si>
  <si>
    <t>Улучшение внешнего вида города</t>
  </si>
  <si>
    <t>Увеличение площади зелёных насаждений, снижение уровня загрязнения атмосферного воздуха, улучшение экологического состояния города</t>
  </si>
  <si>
    <t>Обеспечение чистоты и порядка , улучшение санитарного и экологического состояния города</t>
  </si>
  <si>
    <t xml:space="preserve">Вывоз разукомплектованных машин с территории города </t>
  </si>
  <si>
    <t xml:space="preserve">Улучшение внешнего облика города, придание эстетического вида </t>
  </si>
  <si>
    <t>Подготовка к празднику и оформление территории города на период проведения праздника - День Победы</t>
  </si>
  <si>
    <t>Подготовка к празднику и оформление территории города на период проведения праздника - День Города</t>
  </si>
  <si>
    <t>Поддержание мест массового скопления жителей в надлежащем состояниии</t>
  </si>
  <si>
    <t>Обеспечение безопасности дорожного движения,создание оптимальных условий движения транспортных потоков</t>
  </si>
  <si>
    <t xml:space="preserve">Обеспечение  безопасности  движения пешеходов </t>
  </si>
  <si>
    <t xml:space="preserve">Подготовка к празднику и оформление территории города на период проведения праздника - Новый год                                                                                                </t>
  </si>
  <si>
    <t>7.1.</t>
  </si>
  <si>
    <t>Уход за газонами и зелеными насаждениями</t>
  </si>
  <si>
    <t xml:space="preserve">Завоз земли для устройства клумб и газонов в жилой зоне  города </t>
  </si>
  <si>
    <t xml:space="preserve">Содержание ливневой канализации </t>
  </si>
  <si>
    <t>Вырубка сухих и аварийных деревьев с компенсационной посадкой молодых саженцев</t>
  </si>
  <si>
    <t xml:space="preserve">Корректировка "Проекта организации дорожного движения в городе Сертолово Всеволожского района Ленинградской области" </t>
  </si>
  <si>
    <t>Итого по программе, в т.ч:</t>
  </si>
  <si>
    <t xml:space="preserve"> МУ "Оказание услуг "Развитие"</t>
  </si>
  <si>
    <t>7.2.</t>
  </si>
  <si>
    <t>Оплата электроэнергии, потребленной уличным освещением</t>
  </si>
  <si>
    <t xml:space="preserve">                                                  к постановлению администрации</t>
  </si>
  <si>
    <t xml:space="preserve">                  МО Сертолово</t>
  </si>
  <si>
    <t xml:space="preserve">                          ПРИЛОЖЕНИЕ №1</t>
  </si>
  <si>
    <t>Ремонт асфальтобетонных покрытий автомобильных дорог и проездов к дворовым территориям многоквартирных домов</t>
  </si>
  <si>
    <t>Текущий ремонт трещин и выбоин асфальтобетонных покрытий автомобильных  дорог и проездов к дворовым территориям многоквартирных домов</t>
  </si>
  <si>
    <t>Поддержание  улично-дорожной сети  в чистоте и порядке,улучшение её санитарного состояния</t>
  </si>
  <si>
    <t>Санитарная уборка территории города  в зимнее и летнее время</t>
  </si>
  <si>
    <t>Улучшение внешнего вида города, обеспечение безопасности</t>
  </si>
  <si>
    <t>Содержание мест массового скопления жителей города</t>
  </si>
  <si>
    <t>Комплектация дополнительным оборудованием детских и спортивных площадок</t>
  </si>
  <si>
    <t>Обеспечение занятости и физического развития детей</t>
  </si>
  <si>
    <t>Улучшение внешнего вида территории, защита зелёных насаждений</t>
  </si>
  <si>
    <t xml:space="preserve">Улучшение внешнего вида города, обеспечение комфортных условий проживания жителей города </t>
  </si>
  <si>
    <t>Устройство декоративного ограждения</t>
  </si>
  <si>
    <t>Устройство и содержание малых архитектурных форм и других элементов благоустройства</t>
  </si>
  <si>
    <t>Устройство и содержание технических средств организации дорожного движения</t>
  </si>
  <si>
    <t>Механизированная  уборка автомобильных дорог, проездов к дворовым территориям многоквартирных домов с элементами ручной уборки в зимнее и летнее время</t>
  </si>
  <si>
    <t>Обеспечение праздничного вида города</t>
  </si>
  <si>
    <t>Содержание и текущий ремонт сети и оборудования уличного освещения города</t>
  </si>
  <si>
    <t>Капитальный ремонт автомобильных дорог и проездов города Сертолово</t>
  </si>
  <si>
    <t>Проектирование участков улично-дорожной сети</t>
  </si>
  <si>
    <t>Уход за дорожными знаками</t>
  </si>
  <si>
    <t xml:space="preserve">Поддержание в чистоте и порядке дорожных знаков </t>
  </si>
  <si>
    <t>Бюджет Всеволожского муниципального района</t>
  </si>
  <si>
    <t>Исполнение требований санитарного закодательства РФ,  проведение дополнительных противоэпидимических мероприятий, профилактика инфекций, передающихся иксоидными клещами</t>
  </si>
  <si>
    <t>Проведение акарицидных обработок территорий парков, скверов, зон рекреаций, кладбищ и др. мест массового посещения населения  города</t>
  </si>
  <si>
    <t xml:space="preserve">Обеспечение безопасности дорожного движения, сохранности существующей сети дорог, создание оптимальных условий движения транспортных потоков </t>
  </si>
  <si>
    <t>4.4.</t>
  </si>
  <si>
    <t>Уничтожение борщевика Сосновского химическим способом</t>
  </si>
  <si>
    <t>Обеспечение безопасности и здоровья граждан, улучшение внешнего облика города</t>
  </si>
  <si>
    <r>
      <t xml:space="preserve">                              от </t>
    </r>
    <r>
      <rPr>
        <u/>
        <sz val="10"/>
        <color indexed="10"/>
        <rFont val="Arial"/>
        <family val="1"/>
        <charset val="204"/>
      </rPr>
      <t xml:space="preserve">                              </t>
    </r>
    <r>
      <rPr>
        <sz val="10"/>
        <color indexed="10"/>
        <rFont val="Arial"/>
        <family val="1"/>
        <charset val="204"/>
      </rPr>
      <t xml:space="preserve">№ </t>
    </r>
    <r>
      <rPr>
        <u/>
        <sz val="10"/>
        <color indexed="10"/>
        <rFont val="Arial"/>
        <family val="1"/>
        <charset val="204"/>
      </rPr>
      <t xml:space="preserve">   </t>
    </r>
  </si>
  <si>
    <t>8.1.</t>
  </si>
  <si>
    <t>Разработка дизайн-проектов благоустройства общественных и дворовых территорий города</t>
  </si>
  <si>
    <t>Обеспечение условий для комфортного культурного отдыха и времяпрепровождения жителей города</t>
  </si>
  <si>
    <t>8.2.</t>
  </si>
  <si>
    <t>МУ "Оказание услуг "Развитие"</t>
  </si>
  <si>
    <t>Устройство цветочной клумбы в районе д. 6 мкр. Черная Речка в г. Сертолово</t>
  </si>
  <si>
    <t>Устройство и содержание детских и спортивных площадок и других объектов благоустройства</t>
  </si>
  <si>
    <t>Обеспечение безопасности отдыха детей на детских и спортивных площадках и других объектах благоустройства</t>
  </si>
  <si>
    <t>Посадка деревьев на территории города Сертолово</t>
  </si>
  <si>
    <t>Подготовка и оформление территории города на период проведения праздничных мероприятий</t>
  </si>
  <si>
    <t>Обустройство и содержание общественных территорий и пешеходных зон города Сертолово</t>
  </si>
  <si>
    <t>Разработка комплексной схемы организации дорожного движения на территории города Сертолово Всеволожского района Ленинградской области</t>
  </si>
  <si>
    <t>Диагностика и оценка состояния автомобильных дорог и проездов к дворовым территориям многоквартирных домов города Сертолово</t>
  </si>
  <si>
    <t>Наименование структурного элемента программы</t>
  </si>
  <si>
    <t>Ответственный за реализацию структурного элемента</t>
  </si>
  <si>
    <t>Проектная часть</t>
  </si>
  <si>
    <t>Федеральный проект "Формирование комфортной городской среды" национального проекта "Жилье и городская среда"</t>
  </si>
  <si>
    <t>ПЛАН РЕАЛИЗАЦИИ</t>
  </si>
  <si>
    <t>Благоустройство общественных территорий города Сертолово</t>
  </si>
  <si>
    <t>Федеральный бюджет</t>
  </si>
  <si>
    <t>Областной бюджет ЛО</t>
  </si>
  <si>
    <t>Всего,
в том числе:</t>
  </si>
  <si>
    <t>Обеспечение условий для комфортного и культурного времяпрепровождения жителей города</t>
  </si>
  <si>
    <t>Процессная часть</t>
  </si>
  <si>
    <t>2017-2024</t>
  </si>
  <si>
    <t>Комплекс процессных мероприятий "Устройство, замена, ремонт и текущее содержание детских и спортивных площадок, малых архитектурных форм и прочих элементов благоустройства на территории города Сертолово"</t>
  </si>
  <si>
    <t>2017-2021</t>
  </si>
  <si>
    <t>2017-2020, 2022-2023</t>
  </si>
  <si>
    <t>2021-2022</t>
  </si>
  <si>
    <t>Создание мест (площадок) накопления твердых коммунальных отходов</t>
  </si>
  <si>
    <t>Комплекс процессных мероприятий "Устройство, обустройство и содержание общественных территорий и пешеходных зон города Сертолово"</t>
  </si>
  <si>
    <t>2018-2021</t>
  </si>
  <si>
    <t>3.4.</t>
  </si>
  <si>
    <t>Всего,
в том числе</t>
  </si>
  <si>
    <t>2017-2019, 2023</t>
  </si>
  <si>
    <t>2018-2024</t>
  </si>
  <si>
    <t>6.</t>
  </si>
  <si>
    <t>Комплекс процессных мероприятий "Организация санитарного содержания территории города Сертолово"</t>
  </si>
  <si>
    <t>6.4.</t>
  </si>
  <si>
    <t>7.</t>
  </si>
  <si>
    <t>Комплекс процессных мероприятий "Организация оформления территории города Сертолово на период проведения праздничных мероприятий"</t>
  </si>
  <si>
    <t>7.3.</t>
  </si>
  <si>
    <t>7.4.</t>
  </si>
  <si>
    <t>Комплекс процессных мероприятий "Организация уличного освещения территории города Сертолово"</t>
  </si>
  <si>
    <t>Бесперебойное освещение города в вечернее и ночное время суток, обеспечение безопасного движения транспортных средств и пешеходов в вечернее и ночное время суток</t>
  </si>
  <si>
    <t>Областной бюджет Ленинградской области</t>
  </si>
  <si>
    <t>9.</t>
  </si>
  <si>
    <t>9.1.</t>
  </si>
  <si>
    <t xml:space="preserve">2017-2020  </t>
  </si>
  <si>
    <t xml:space="preserve">2017-2018  </t>
  </si>
  <si>
    <t xml:space="preserve">2019-2024  </t>
  </si>
  <si>
    <t xml:space="preserve">2017-2024  </t>
  </si>
  <si>
    <t>Комплекс процессных мероприятий "Организация озеленения территории города Сертолово"</t>
  </si>
  <si>
    <t>Формирование и содержание объекта внешнего благоустройства «Зона отдыха «Сертала» с элементами благоустройства территории, малыми архитектурными формами, фонарями, скамейками, спортивными и детскими площадками</t>
  </si>
  <si>
    <t>Обустройство и содержание объекта внешнего благоустройство «Аллея памяти с монументом воинам, погибшим в локальных войнах и военных конфликтах»</t>
  </si>
  <si>
    <t>Формирование и обустройство объекта внешнего благоустройства «Аллея молодоженов»</t>
  </si>
  <si>
    <t>Формирование и обустройство объекта внешнего благоустройства «Городская площадь»</t>
  </si>
  <si>
    <t>"Формирование и обустройство объекта внешнего благоустройства в районе д. 4, 7 мкр. Черная Речка в г. Сертолово</t>
  </si>
  <si>
    <t>2.5.</t>
  </si>
  <si>
    <t>"Комплекс процессных мероприятий "Санитарное содержание улично-дорожной сети города Сертолово"</t>
  </si>
  <si>
    <t>5.</t>
  </si>
  <si>
    <t>6.5.</t>
  </si>
  <si>
    <t>8.</t>
  </si>
  <si>
    <t>8.3.</t>
  </si>
  <si>
    <t>8.4.</t>
  </si>
  <si>
    <t>9.2.</t>
  </si>
  <si>
    <t>6.1.</t>
  </si>
  <si>
    <t>Комплекс процессных мероприятий "Планирование и осуществление дорожной деятельности на территории города Сертолово"</t>
  </si>
  <si>
    <t>Итого
по проектной части, в т.ч.</t>
  </si>
  <si>
    <t>Итого
по процессной части, в т.ч.</t>
  </si>
  <si>
    <t>1.</t>
  </si>
  <si>
    <t>2.</t>
  </si>
  <si>
    <t>3.</t>
  </si>
  <si>
    <t>3.5.</t>
  </si>
  <si>
    <t>3.6.</t>
  </si>
  <si>
    <t>3.7.</t>
  </si>
  <si>
    <t>3.8.</t>
  </si>
  <si>
    <t>4.</t>
  </si>
  <si>
    <t>4.5.</t>
  </si>
  <si>
    <t>4.6.</t>
  </si>
  <si>
    <t>4.7.</t>
  </si>
  <si>
    <t>4.8.</t>
  </si>
  <si>
    <t>Ожидаемый результат реализации структурного элемента Программы</t>
  </si>
  <si>
    <t>2017-2018</t>
  </si>
  <si>
    <t>2017-2020,
2022-2024</t>
  </si>
  <si>
    <t>2018-2019</t>
  </si>
  <si>
    <t>2019-2020</t>
  </si>
  <si>
    <t>2019, 2021</t>
  </si>
  <si>
    <t xml:space="preserve">2017-2024 </t>
  </si>
  <si>
    <t xml:space="preserve"> МУНИЦИПАЛЬНОЙ ПРОГРАММЫ</t>
  </si>
  <si>
    <t>2018-2022</t>
  </si>
  <si>
    <t xml:space="preserve"> МУ "Оказание услуг "Развитие"
Комитет ЖКХ</t>
  </si>
  <si>
    <t>10.</t>
  </si>
  <si>
    <t>10.1.</t>
  </si>
  <si>
    <t>Комплекс процессных мероприятий "Обеспечение деятельности подведомственного учреждения"</t>
  </si>
  <si>
    <t>2023-2024</t>
  </si>
  <si>
    <t>Обеспечения условий для надлежащего функционирования учреждения, осуществления деятельности в соответствии с Уставом учреждения</t>
  </si>
  <si>
    <t>Обеспечение деятельности Сертоловского муниципального учреждения "Оказание услуг "Развитие"</t>
  </si>
  <si>
    <t>"Благоустроенный город Сертолово" на 2017-2025 годы</t>
  </si>
  <si>
    <t>2019 - 2025</t>
  </si>
  <si>
    <t>ПРИЛОЖЕНИЕ №1
к постановлению администрации
МО Сертолово
от "29" июня 2023 г. № 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</si>
</sst>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u/>
      <sz val="10"/>
      <color indexed="10"/>
      <name val="Arial"/>
      <family val="1"/>
      <charset val="204"/>
    </font>
    <font>
      <sz val="10"/>
      <color indexed="10"/>
      <name val="Arial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sz val="10"/>
      <name val="Times New Roman"/>
      <family val="1"/>
      <charset val="204"/>
      <scheme val="minor"/>
    </font>
    <font>
      <b/>
      <sz val="9"/>
      <name val="Times New Roman"/>
      <family val="1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9"/>
      <name val="Times New Roman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0" fillId="0" borderId="0" xfId="0" applyFont="1"/>
    <xf numFmtId="0" fontId="3" fillId="0" borderId="0" xfId="0" applyFont="1"/>
    <xf numFmtId="0" fontId="4" fillId="0" borderId="0" xfId="0" applyFont="1"/>
    <xf numFmtId="0" fontId="10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2" borderId="0" xfId="0" applyFont="1" applyFill="1"/>
    <xf numFmtId="0" fontId="9" fillId="0" borderId="0" xfId="0" applyFont="1"/>
    <xf numFmtId="0" fontId="13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164" fontId="11" fillId="0" borderId="6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/>
    <xf numFmtId="0" fontId="11" fillId="0" borderId="3" xfId="0" applyFont="1" applyBorder="1" applyAlignment="1">
      <alignment vertical="top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vertical="top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/>
    <xf numFmtId="0" fontId="14" fillId="4" borderId="2" xfId="0" applyFont="1" applyFill="1" applyBorder="1" applyAlignment="1">
      <alignment horizontal="left" vertical="center" wrapText="1"/>
    </xf>
    <xf numFmtId="164" fontId="14" fillId="4" borderId="9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14" fillId="4" borderId="1" xfId="0" applyFont="1" applyFill="1" applyBorder="1" applyAlignment="1">
      <alignment horizontal="left" vertical="center"/>
    </xf>
    <xf numFmtId="0" fontId="11" fillId="4" borderId="5" xfId="0" applyFont="1" applyFill="1" applyBorder="1"/>
    <xf numFmtId="164" fontId="14" fillId="4" borderId="1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/>
    <xf numFmtId="164" fontId="14" fillId="4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" fontId="11" fillId="0" borderId="11" xfId="0" quotePrefix="1" applyNumberFormat="1" applyFont="1" applyBorder="1" applyAlignment="1">
      <alignment horizontal="center" vertical="center" wrapText="1"/>
    </xf>
    <xf numFmtId="1" fontId="11" fillId="0" borderId="11" xfId="0" quotePrefix="1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6" xfId="0" applyFont="1" applyFill="1" applyBorder="1"/>
    <xf numFmtId="0" fontId="14" fillId="4" borderId="6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16" fontId="11" fillId="0" borderId="2" xfId="0" quotePrefix="1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1" fillId="5" borderId="2" xfId="0" applyNumberFormat="1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horizontal="center" vertical="center"/>
    </xf>
    <xf numFmtId="164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164" fontId="11" fillId="5" borderId="3" xfId="0" applyNumberFormat="1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16" fontId="11" fillId="5" borderId="1" xfId="0" quotePrefix="1" applyNumberFormat="1" applyFont="1" applyFill="1" applyBorder="1" applyAlignment="1">
      <alignment horizontal="center" vertical="center" wrapText="1"/>
    </xf>
    <xf numFmtId="16" fontId="11" fillId="5" borderId="6" xfId="0" quotePrefix="1" applyNumberFormat="1" applyFont="1" applyFill="1" applyBorder="1" applyAlignment="1">
      <alignment horizontal="center" vertical="center" wrapText="1"/>
    </xf>
    <xf numFmtId="16" fontId="11" fillId="5" borderId="1" xfId="0" quotePrefix="1" applyNumberFormat="1" applyFont="1" applyFill="1" applyBorder="1" applyAlignment="1">
      <alignment horizontal="left" vertical="center" wrapText="1"/>
    </xf>
    <xf numFmtId="16" fontId="11" fillId="5" borderId="6" xfId="0" quotePrefix="1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16" fontId="11" fillId="5" borderId="1" xfId="0" applyNumberFormat="1" applyFont="1" applyFill="1" applyBorder="1" applyAlignment="1">
      <alignment horizontal="center" vertical="center" wrapText="1"/>
    </xf>
    <xf numFmtId="16" fontId="11" fillId="5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" fontId="11" fillId="5" borderId="1" xfId="0" quotePrefix="1" applyNumberFormat="1" applyFont="1" applyFill="1" applyBorder="1" applyAlignment="1">
      <alignment horizontal="center" vertical="center" wrapText="1"/>
    </xf>
    <xf numFmtId="1" fontId="11" fillId="5" borderId="9" xfId="0" quotePrefix="1" applyNumberFormat="1" applyFont="1" applyFill="1" applyBorder="1" applyAlignment="1">
      <alignment horizontal="center" vertical="center" wrapText="1"/>
    </xf>
    <xf numFmtId="1" fontId="11" fillId="5" borderId="6" xfId="0" quotePrefix="1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left" vertical="center" wrapText="1"/>
    </xf>
    <xf numFmtId="1" fontId="11" fillId="5" borderId="9" xfId="0" applyNumberFormat="1" applyFont="1" applyFill="1" applyBorder="1" applyAlignment="1">
      <alignment horizontal="left" vertical="center" wrapText="1"/>
    </xf>
    <xf numFmtId="1" fontId="11" fillId="5" borderId="6" xfId="0" applyNumberFormat="1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16" fontId="11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11" fillId="5" borderId="1" xfId="0" quotePrefix="1" applyFont="1" applyFill="1" applyBorder="1" applyAlignment="1">
      <alignment horizontal="center" vertical="center" wrapText="1"/>
    </xf>
    <xf numFmtId="0" fontId="11" fillId="5" borderId="6" xfId="0" quotePrefix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6" fontId="11" fillId="0" borderId="1" xfId="0" quotePrefix="1" applyNumberFormat="1" applyFont="1" applyBorder="1" applyAlignment="1">
      <alignment horizontal="center" vertical="center" wrapText="1"/>
    </xf>
    <xf numFmtId="16" fontId="11" fillId="0" borderId="6" xfId="0" quotePrefix="1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6444" name="AutoShape 1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>
          <a:spLocks/>
        </xdr:cNvSpPr>
      </xdr:nvSpPr>
      <xdr:spPr bwMode="auto">
        <a:xfrm>
          <a:off x="0" y="1800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0</xdr:colOff>
      <xdr:row>70</xdr:row>
      <xdr:rowOff>0</xdr:rowOff>
    </xdr:to>
    <xdr:sp macro="" textlink="">
      <xdr:nvSpPr>
        <xdr:cNvPr id="6445" name="AutoShape 2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>
          <a:spLocks/>
        </xdr:cNvSpPr>
      </xdr:nvSpPr>
      <xdr:spPr bwMode="auto">
        <a:xfrm>
          <a:off x="0" y="14697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0"/>
  <sheetViews>
    <sheetView tabSelected="1" view="pageBreakPreview" topLeftCell="A5" zoomScaleNormal="100" zoomScaleSheetLayoutView="100" workbookViewId="0">
      <pane ySplit="13" topLeftCell="A36" activePane="bottomLeft" state="frozen"/>
      <selection activeCell="A5" sqref="A5"/>
      <selection pane="bottomLeft" activeCell="M9" sqref="M9"/>
    </sheetView>
  </sheetViews>
  <sheetFormatPr defaultColWidth="9.140625" defaultRowHeight="12.75" x14ac:dyDescent="0.2"/>
  <cols>
    <col min="1" max="1" width="4.42578125" style="3" customWidth="1"/>
    <col min="2" max="2" width="25.42578125" style="3" customWidth="1"/>
    <col min="3" max="3" width="13.42578125" style="3" customWidth="1"/>
    <col min="4" max="4" width="10.7109375" style="3" customWidth="1"/>
    <col min="5" max="5" width="9.42578125" style="3" customWidth="1"/>
    <col min="6" max="6" width="8.85546875" style="3" customWidth="1"/>
    <col min="7" max="7" width="8.42578125" style="3" customWidth="1"/>
    <col min="8" max="10" width="8.7109375" style="11" customWidth="1"/>
    <col min="11" max="11" width="8.28515625" style="11" customWidth="1"/>
    <col min="12" max="13" width="9" style="11" customWidth="1"/>
    <col min="14" max="14" width="8.85546875" style="11" customWidth="1"/>
    <col min="15" max="15" width="13.42578125" style="3" customWidth="1"/>
    <col min="16" max="16" width="19.42578125" style="3" customWidth="1"/>
    <col min="17" max="17" width="9.140625" style="3"/>
    <col min="18" max="18" width="9.42578125" style="3" bestFit="1" customWidth="1"/>
    <col min="19" max="16384" width="9.140625" style="3"/>
  </cols>
  <sheetData>
    <row r="1" spans="1:17" ht="15.75" hidden="1" x14ac:dyDescent="0.25">
      <c r="A1" s="1"/>
      <c r="B1" s="1"/>
      <c r="C1" s="1"/>
      <c r="D1" s="1"/>
      <c r="E1" s="1"/>
      <c r="F1" s="1"/>
      <c r="G1" s="134" t="s">
        <v>47</v>
      </c>
      <c r="H1" s="134"/>
      <c r="I1" s="134"/>
      <c r="J1" s="134"/>
      <c r="K1" s="134"/>
      <c r="L1" s="134"/>
      <c r="M1" s="134"/>
      <c r="N1" s="134"/>
      <c r="O1" s="134"/>
      <c r="P1" s="134"/>
      <c r="Q1" s="2"/>
    </row>
    <row r="2" spans="1:17" ht="14.25" hidden="1" customHeight="1" x14ac:dyDescent="0.25">
      <c r="A2" s="1"/>
      <c r="B2" s="1"/>
      <c r="C2" s="1"/>
      <c r="D2" s="1"/>
      <c r="E2" s="1"/>
      <c r="F2" s="1"/>
      <c r="G2" s="134" t="s">
        <v>45</v>
      </c>
      <c r="H2" s="134"/>
      <c r="I2" s="134"/>
      <c r="J2" s="134"/>
      <c r="K2" s="134"/>
      <c r="L2" s="134"/>
      <c r="M2" s="134"/>
      <c r="N2" s="134"/>
      <c r="O2" s="134"/>
      <c r="P2" s="134"/>
      <c r="Q2" s="2"/>
    </row>
    <row r="3" spans="1:17" ht="14.25" hidden="1" customHeight="1" x14ac:dyDescent="0.25">
      <c r="A3" s="1"/>
      <c r="B3" s="1"/>
      <c r="C3" s="1"/>
      <c r="D3" s="1"/>
      <c r="E3" s="1"/>
      <c r="F3" s="1"/>
      <c r="G3" s="134" t="s">
        <v>46</v>
      </c>
      <c r="H3" s="134"/>
      <c r="I3" s="134"/>
      <c r="J3" s="134"/>
      <c r="K3" s="134"/>
      <c r="L3" s="134"/>
      <c r="M3" s="134"/>
      <c r="N3" s="134"/>
      <c r="O3" s="134"/>
      <c r="P3" s="134"/>
      <c r="Q3" s="2"/>
    </row>
    <row r="4" spans="1:17" ht="15" hidden="1" customHeight="1" x14ac:dyDescent="0.25">
      <c r="A4" s="1"/>
      <c r="B4" s="1"/>
      <c r="C4" s="1"/>
      <c r="D4" s="1"/>
      <c r="E4" s="1"/>
      <c r="F4" s="4"/>
      <c r="G4" s="134" t="s">
        <v>75</v>
      </c>
      <c r="H4" s="135"/>
      <c r="I4" s="135"/>
      <c r="J4" s="135"/>
      <c r="K4" s="135"/>
      <c r="L4" s="135"/>
      <c r="M4" s="135"/>
      <c r="N4" s="135"/>
      <c r="O4" s="135"/>
      <c r="P4" s="135"/>
      <c r="Q4" s="5"/>
    </row>
    <row r="5" spans="1:17" ht="17.25" customHeight="1" x14ac:dyDescent="0.25">
      <c r="A5" s="1"/>
      <c r="B5" s="1"/>
      <c r="C5" s="1"/>
      <c r="D5" s="1"/>
      <c r="E5" s="1"/>
      <c r="F5" s="4"/>
      <c r="G5" s="94"/>
      <c r="H5" s="95"/>
      <c r="I5" s="95"/>
      <c r="J5" s="95"/>
      <c r="K5" s="95"/>
      <c r="L5" s="95"/>
      <c r="M5" s="141" t="s">
        <v>176</v>
      </c>
      <c r="N5" s="142"/>
      <c r="O5" s="142"/>
      <c r="P5" s="142"/>
      <c r="Q5" s="5"/>
    </row>
    <row r="6" spans="1:17" ht="17.25" customHeight="1" x14ac:dyDescent="0.25">
      <c r="A6" s="1"/>
      <c r="B6" s="1"/>
      <c r="C6" s="1"/>
      <c r="D6" s="1"/>
      <c r="E6" s="1"/>
      <c r="F6" s="4"/>
      <c r="G6" s="94"/>
      <c r="H6" s="95"/>
      <c r="I6" s="95"/>
      <c r="J6" s="95"/>
      <c r="K6" s="95"/>
      <c r="L6" s="95"/>
      <c r="M6" s="142"/>
      <c r="N6" s="142"/>
      <c r="O6" s="142"/>
      <c r="P6" s="142"/>
      <c r="Q6" s="5"/>
    </row>
    <row r="7" spans="1:17" ht="17.25" customHeight="1" x14ac:dyDescent="0.25">
      <c r="A7" s="1"/>
      <c r="B7" s="1"/>
      <c r="C7" s="1"/>
      <c r="D7" s="1"/>
      <c r="E7" s="1"/>
      <c r="F7" s="4"/>
      <c r="G7" s="94"/>
      <c r="H7" s="95"/>
      <c r="I7" s="95"/>
      <c r="J7" s="95"/>
      <c r="K7" s="95"/>
      <c r="L7" s="95"/>
      <c r="M7" s="142"/>
      <c r="N7" s="142"/>
      <c r="O7" s="142"/>
      <c r="P7" s="142"/>
      <c r="Q7" s="5"/>
    </row>
    <row r="8" spans="1:17" ht="17.25" customHeight="1" x14ac:dyDescent="0.25">
      <c r="A8" s="1"/>
      <c r="B8" s="1"/>
      <c r="C8" s="1"/>
      <c r="D8" s="1"/>
      <c r="E8" s="1"/>
      <c r="F8" s="4"/>
      <c r="G8" s="94"/>
      <c r="H8" s="95"/>
      <c r="I8" s="95"/>
      <c r="J8" s="95"/>
      <c r="K8" s="95"/>
      <c r="L8" s="95"/>
      <c r="M8" s="142"/>
      <c r="N8" s="142"/>
      <c r="O8" s="142"/>
      <c r="P8" s="142"/>
      <c r="Q8" s="5"/>
    </row>
    <row r="9" spans="1:17" ht="15" customHeight="1" x14ac:dyDescent="0.25">
      <c r="A9" s="1"/>
      <c r="B9" s="1"/>
      <c r="C9" s="1"/>
      <c r="D9" s="1"/>
      <c r="E9" s="1"/>
      <c r="F9" s="4"/>
      <c r="G9" s="94"/>
      <c r="H9" s="95"/>
      <c r="I9" s="95"/>
      <c r="J9" s="95"/>
      <c r="K9" s="95"/>
      <c r="L9" s="95"/>
      <c r="M9" s="95"/>
      <c r="N9" s="95"/>
      <c r="O9" s="95"/>
      <c r="P9" s="95"/>
      <c r="Q9" s="5"/>
    </row>
    <row r="10" spans="1:17" ht="15" customHeight="1" x14ac:dyDescent="0.25">
      <c r="A10" s="6"/>
      <c r="B10" s="6"/>
      <c r="C10" s="6"/>
      <c r="D10" s="6"/>
      <c r="E10" s="6"/>
      <c r="F10" s="7"/>
      <c r="G10" s="8"/>
      <c r="H10" s="9"/>
      <c r="I10" s="9"/>
      <c r="J10" s="9"/>
      <c r="K10" s="9"/>
      <c r="L10" s="9"/>
      <c r="M10" s="9"/>
      <c r="N10" s="9"/>
      <c r="O10" s="9"/>
      <c r="P10" s="9"/>
      <c r="Q10" s="5"/>
    </row>
    <row r="11" spans="1:17" s="6" customFormat="1" ht="15.75" customHeight="1" x14ac:dyDescent="0.3">
      <c r="A11" s="136" t="s">
        <v>93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</row>
    <row r="12" spans="1:17" s="6" customFormat="1" ht="16.5" customHeight="1" x14ac:dyDescent="0.3">
      <c r="A12" s="136" t="s">
        <v>165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</row>
    <row r="13" spans="1:17" ht="15" customHeight="1" x14ac:dyDescent="0.3">
      <c r="A13" s="136" t="s">
        <v>174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</row>
    <row r="14" spans="1:17" ht="15.75" customHeight="1" x14ac:dyDescent="0.3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</row>
    <row r="15" spans="1:17" ht="27.75" customHeight="1" x14ac:dyDescent="0.2">
      <c r="A15" s="138" t="s">
        <v>0</v>
      </c>
      <c r="B15" s="139" t="s">
        <v>89</v>
      </c>
      <c r="C15" s="138" t="s">
        <v>15</v>
      </c>
      <c r="D15" s="137" t="s">
        <v>14</v>
      </c>
      <c r="E15" s="138" t="s">
        <v>17</v>
      </c>
      <c r="F15" s="137" t="s">
        <v>1</v>
      </c>
      <c r="G15" s="140"/>
      <c r="H15" s="140"/>
      <c r="I15" s="140"/>
      <c r="J15" s="140"/>
      <c r="K15" s="140"/>
      <c r="L15" s="140"/>
      <c r="M15" s="140"/>
      <c r="N15" s="139"/>
      <c r="O15" s="137" t="s">
        <v>90</v>
      </c>
      <c r="P15" s="118" t="s">
        <v>158</v>
      </c>
      <c r="Q15" s="13"/>
    </row>
    <row r="16" spans="1:17" ht="27.75" customHeight="1" x14ac:dyDescent="0.2">
      <c r="A16" s="138"/>
      <c r="B16" s="139"/>
      <c r="C16" s="138"/>
      <c r="D16" s="137"/>
      <c r="E16" s="138"/>
      <c r="F16" s="56">
        <v>2017</v>
      </c>
      <c r="G16" s="35">
        <v>2018</v>
      </c>
      <c r="H16" s="35">
        <v>2019</v>
      </c>
      <c r="I16" s="57">
        <v>2020</v>
      </c>
      <c r="J16" s="57">
        <v>2021</v>
      </c>
      <c r="K16" s="57">
        <v>2022</v>
      </c>
      <c r="L16" s="57">
        <v>2023</v>
      </c>
      <c r="M16" s="57">
        <v>2024</v>
      </c>
      <c r="N16" s="57">
        <v>2025</v>
      </c>
      <c r="O16" s="137"/>
      <c r="P16" s="119"/>
      <c r="Q16" s="13"/>
    </row>
    <row r="17" spans="1:17" x14ac:dyDescent="0.2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13</v>
      </c>
      <c r="N17" s="14">
        <v>14</v>
      </c>
      <c r="O17" s="14">
        <v>15</v>
      </c>
      <c r="P17" s="14">
        <v>16</v>
      </c>
      <c r="Q17" s="13"/>
    </row>
    <row r="18" spans="1:17" x14ac:dyDescent="0.2">
      <c r="A18" s="98" t="s">
        <v>91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00"/>
      <c r="Q18" s="13"/>
    </row>
    <row r="19" spans="1:17" ht="24" x14ac:dyDescent="0.2">
      <c r="A19" s="103" t="s">
        <v>146</v>
      </c>
      <c r="B19" s="112" t="s">
        <v>92</v>
      </c>
      <c r="C19" s="69" t="s">
        <v>97</v>
      </c>
      <c r="D19" s="103" t="s">
        <v>166</v>
      </c>
      <c r="E19" s="70">
        <f t="shared" ref="E19:N19" si="0">E23</f>
        <v>122786.3</v>
      </c>
      <c r="F19" s="70">
        <f t="shared" si="0"/>
        <v>0</v>
      </c>
      <c r="G19" s="70">
        <f t="shared" si="0"/>
        <v>16000</v>
      </c>
      <c r="H19" s="70">
        <f t="shared" si="0"/>
        <v>31600</v>
      </c>
      <c r="I19" s="70">
        <f t="shared" si="0"/>
        <v>42800</v>
      </c>
      <c r="J19" s="70">
        <f t="shared" si="0"/>
        <v>14286</v>
      </c>
      <c r="K19" s="70">
        <f t="shared" si="0"/>
        <v>18100.3</v>
      </c>
      <c r="L19" s="70">
        <f t="shared" si="0"/>
        <v>0</v>
      </c>
      <c r="M19" s="70">
        <f t="shared" ref="M19" si="1">M23</f>
        <v>0</v>
      </c>
      <c r="N19" s="70">
        <f t="shared" si="0"/>
        <v>0</v>
      </c>
      <c r="O19" s="103"/>
      <c r="P19" s="112"/>
      <c r="Q19" s="13"/>
    </row>
    <row r="20" spans="1:17" ht="24" x14ac:dyDescent="0.2">
      <c r="A20" s="104"/>
      <c r="B20" s="128"/>
      <c r="C20" s="69" t="s">
        <v>95</v>
      </c>
      <c r="D20" s="104"/>
      <c r="E20" s="70">
        <f t="shared" ref="E20:N20" si="2">E24</f>
        <v>36127.599999999999</v>
      </c>
      <c r="F20" s="71">
        <f t="shared" si="2"/>
        <v>0</v>
      </c>
      <c r="G20" s="71">
        <f t="shared" si="2"/>
        <v>3495</v>
      </c>
      <c r="H20" s="71">
        <f t="shared" si="2"/>
        <v>10560</v>
      </c>
      <c r="I20" s="71">
        <f t="shared" si="2"/>
        <v>12852.5</v>
      </c>
      <c r="J20" s="71">
        <f t="shared" si="2"/>
        <v>4071.6</v>
      </c>
      <c r="K20" s="71">
        <f t="shared" si="2"/>
        <v>5148.5</v>
      </c>
      <c r="L20" s="71">
        <f t="shared" si="2"/>
        <v>0</v>
      </c>
      <c r="M20" s="71">
        <f t="shared" ref="M20" si="3">M24</f>
        <v>0</v>
      </c>
      <c r="N20" s="71">
        <f t="shared" si="2"/>
        <v>0</v>
      </c>
      <c r="O20" s="104"/>
      <c r="P20" s="128"/>
      <c r="Q20" s="13"/>
    </row>
    <row r="21" spans="1:17" ht="24" x14ac:dyDescent="0.2">
      <c r="A21" s="104"/>
      <c r="B21" s="128"/>
      <c r="C21" s="69" t="s">
        <v>96</v>
      </c>
      <c r="D21" s="104"/>
      <c r="E21" s="70">
        <f t="shared" ref="E21:N21" si="4">E25</f>
        <v>77216</v>
      </c>
      <c r="F21" s="71">
        <f t="shared" si="4"/>
        <v>0</v>
      </c>
      <c r="G21" s="71">
        <f t="shared" si="4"/>
        <v>11505</v>
      </c>
      <c r="H21" s="71">
        <f t="shared" si="4"/>
        <v>19440</v>
      </c>
      <c r="I21" s="71">
        <f t="shared" si="4"/>
        <v>26094.5</v>
      </c>
      <c r="J21" s="71">
        <f t="shared" si="4"/>
        <v>8928.4</v>
      </c>
      <c r="K21" s="71">
        <f t="shared" si="4"/>
        <v>11248.1</v>
      </c>
      <c r="L21" s="71">
        <f t="shared" si="4"/>
        <v>0</v>
      </c>
      <c r="M21" s="71">
        <f t="shared" ref="M21" si="5">M25</f>
        <v>0</v>
      </c>
      <c r="N21" s="71">
        <f t="shared" si="4"/>
        <v>0</v>
      </c>
      <c r="O21" s="104"/>
      <c r="P21" s="128"/>
      <c r="Q21" s="13"/>
    </row>
    <row r="22" spans="1:17" ht="24" x14ac:dyDescent="0.2">
      <c r="A22" s="105"/>
      <c r="B22" s="113"/>
      <c r="C22" s="69" t="s">
        <v>22</v>
      </c>
      <c r="D22" s="105"/>
      <c r="E22" s="70">
        <f t="shared" ref="E22:N22" si="6">E26</f>
        <v>9442.7000000000007</v>
      </c>
      <c r="F22" s="71">
        <f t="shared" si="6"/>
        <v>0</v>
      </c>
      <c r="G22" s="71">
        <f t="shared" si="6"/>
        <v>1000</v>
      </c>
      <c r="H22" s="71">
        <f t="shared" si="6"/>
        <v>1600</v>
      </c>
      <c r="I22" s="71">
        <f t="shared" si="6"/>
        <v>3853</v>
      </c>
      <c r="J22" s="71">
        <f t="shared" si="6"/>
        <v>1286</v>
      </c>
      <c r="K22" s="71">
        <f t="shared" si="6"/>
        <v>1703.7</v>
      </c>
      <c r="L22" s="71">
        <f t="shared" si="6"/>
        <v>0</v>
      </c>
      <c r="M22" s="71">
        <f t="shared" ref="M22" si="7">M26</f>
        <v>0</v>
      </c>
      <c r="N22" s="71">
        <f t="shared" si="6"/>
        <v>0</v>
      </c>
      <c r="O22" s="105"/>
      <c r="P22" s="113"/>
      <c r="Q22" s="13"/>
    </row>
    <row r="23" spans="1:17" ht="24" x14ac:dyDescent="0.2">
      <c r="A23" s="145" t="s">
        <v>2</v>
      </c>
      <c r="B23" s="110" t="s">
        <v>94</v>
      </c>
      <c r="C23" s="14" t="s">
        <v>97</v>
      </c>
      <c r="D23" s="118" t="s">
        <v>166</v>
      </c>
      <c r="E23" s="16">
        <f>SUM(E24:E26)</f>
        <v>122786.3</v>
      </c>
      <c r="F23" s="27">
        <f>SUM(F24:F26)</f>
        <v>0</v>
      </c>
      <c r="G23" s="27">
        <f t="shared" ref="G23:N23" si="8">SUM(G24:G26)</f>
        <v>16000</v>
      </c>
      <c r="H23" s="27">
        <f t="shared" si="8"/>
        <v>31600</v>
      </c>
      <c r="I23" s="27">
        <f t="shared" si="8"/>
        <v>42800</v>
      </c>
      <c r="J23" s="27">
        <f t="shared" si="8"/>
        <v>14286</v>
      </c>
      <c r="K23" s="27">
        <f>SUM(K24:K26)</f>
        <v>18100.3</v>
      </c>
      <c r="L23" s="27">
        <f t="shared" si="8"/>
        <v>0</v>
      </c>
      <c r="M23" s="27">
        <f t="shared" ref="M23" si="9">SUM(M24:M26)</f>
        <v>0</v>
      </c>
      <c r="N23" s="27">
        <f t="shared" si="8"/>
        <v>0</v>
      </c>
      <c r="O23" s="110" t="s">
        <v>80</v>
      </c>
      <c r="P23" s="110" t="s">
        <v>98</v>
      </c>
      <c r="Q23" s="13"/>
    </row>
    <row r="24" spans="1:17" ht="24" x14ac:dyDescent="0.2">
      <c r="A24" s="146"/>
      <c r="B24" s="120"/>
      <c r="C24" s="14" t="s">
        <v>95</v>
      </c>
      <c r="D24" s="131"/>
      <c r="E24" s="16">
        <f t="shared" ref="E24:E26" si="10">SUM(F24:N24)</f>
        <v>36127.599999999999</v>
      </c>
      <c r="F24" s="27">
        <v>0</v>
      </c>
      <c r="G24" s="27">
        <v>3495</v>
      </c>
      <c r="H24" s="27">
        <v>10560</v>
      </c>
      <c r="I24" s="27">
        <v>12852.5</v>
      </c>
      <c r="J24" s="27">
        <v>4071.6</v>
      </c>
      <c r="K24" s="27">
        <f>5566-417.5</f>
        <v>5148.5</v>
      </c>
      <c r="L24" s="27">
        <v>0</v>
      </c>
      <c r="M24" s="27">
        <v>0</v>
      </c>
      <c r="N24" s="27">
        <v>0</v>
      </c>
      <c r="O24" s="120"/>
      <c r="P24" s="120"/>
      <c r="Q24" s="13"/>
    </row>
    <row r="25" spans="1:17" ht="24" x14ac:dyDescent="0.2">
      <c r="A25" s="146"/>
      <c r="B25" s="120"/>
      <c r="C25" s="14" t="s">
        <v>96</v>
      </c>
      <c r="D25" s="131"/>
      <c r="E25" s="16">
        <f t="shared" si="10"/>
        <v>77216</v>
      </c>
      <c r="F25" s="27">
        <v>0</v>
      </c>
      <c r="G25" s="27">
        <v>11505</v>
      </c>
      <c r="H25" s="27">
        <v>19440</v>
      </c>
      <c r="I25" s="27">
        <v>26094.5</v>
      </c>
      <c r="J25" s="27">
        <v>8928.4</v>
      </c>
      <c r="K25" s="27">
        <f>12160-911.9</f>
        <v>11248.1</v>
      </c>
      <c r="L25" s="27">
        <v>0</v>
      </c>
      <c r="M25" s="27">
        <v>0</v>
      </c>
      <c r="N25" s="27">
        <v>0</v>
      </c>
      <c r="O25" s="120"/>
      <c r="P25" s="120"/>
      <c r="Q25" s="13"/>
    </row>
    <row r="26" spans="1:17" ht="24" x14ac:dyDescent="0.2">
      <c r="A26" s="147"/>
      <c r="B26" s="111"/>
      <c r="C26" s="14" t="s">
        <v>22</v>
      </c>
      <c r="D26" s="119"/>
      <c r="E26" s="16">
        <f t="shared" si="10"/>
        <v>9442.7000000000007</v>
      </c>
      <c r="F26" s="27">
        <v>0</v>
      </c>
      <c r="G26" s="27">
        <v>1000</v>
      </c>
      <c r="H26" s="27">
        <v>1600</v>
      </c>
      <c r="I26" s="27">
        <v>3853</v>
      </c>
      <c r="J26" s="27">
        <v>1286</v>
      </c>
      <c r="K26" s="27">
        <f>1841.9-138.2</f>
        <v>1703.7</v>
      </c>
      <c r="L26" s="27">
        <v>0</v>
      </c>
      <c r="M26" s="27">
        <v>0</v>
      </c>
      <c r="N26" s="27">
        <v>0</v>
      </c>
      <c r="O26" s="111"/>
      <c r="P26" s="111"/>
      <c r="Q26" s="13"/>
    </row>
    <row r="27" spans="1:17" ht="24" x14ac:dyDescent="0.2">
      <c r="A27" s="61"/>
      <c r="B27" s="78" t="s">
        <v>144</v>
      </c>
      <c r="C27" s="77"/>
      <c r="D27" s="77"/>
      <c r="E27" s="44">
        <f>SUM(E28:E30)</f>
        <v>122786.3</v>
      </c>
      <c r="F27" s="44">
        <f t="shared" ref="F27:N27" si="11">SUM(F28:F30)</f>
        <v>0</v>
      </c>
      <c r="G27" s="44">
        <f t="shared" si="11"/>
        <v>16000</v>
      </c>
      <c r="H27" s="44">
        <f t="shared" si="11"/>
        <v>31600</v>
      </c>
      <c r="I27" s="44">
        <f t="shared" si="11"/>
        <v>42800</v>
      </c>
      <c r="J27" s="44">
        <f t="shared" si="11"/>
        <v>14286</v>
      </c>
      <c r="K27" s="44">
        <f t="shared" si="11"/>
        <v>18100.3</v>
      </c>
      <c r="L27" s="44">
        <f t="shared" si="11"/>
        <v>0</v>
      </c>
      <c r="M27" s="44">
        <f t="shared" si="11"/>
        <v>0</v>
      </c>
      <c r="N27" s="44">
        <f t="shared" si="11"/>
        <v>0</v>
      </c>
      <c r="O27" s="148"/>
      <c r="P27" s="148"/>
      <c r="Q27" s="13"/>
    </row>
    <row r="28" spans="1:17" x14ac:dyDescent="0.2">
      <c r="A28" s="61"/>
      <c r="B28" s="78" t="s">
        <v>95</v>
      </c>
      <c r="C28" s="77"/>
      <c r="D28" s="77"/>
      <c r="E28" s="44">
        <f>SUM(F28:N28)</f>
        <v>36127.599999999999</v>
      </c>
      <c r="F28" s="44">
        <f>F20</f>
        <v>0</v>
      </c>
      <c r="G28" s="44">
        <f t="shared" ref="G28:N28" si="12">G20</f>
        <v>3495</v>
      </c>
      <c r="H28" s="44">
        <f t="shared" si="12"/>
        <v>10560</v>
      </c>
      <c r="I28" s="44">
        <f t="shared" si="12"/>
        <v>12852.5</v>
      </c>
      <c r="J28" s="44">
        <f t="shared" si="12"/>
        <v>4071.6</v>
      </c>
      <c r="K28" s="44">
        <f t="shared" si="12"/>
        <v>5148.5</v>
      </c>
      <c r="L28" s="44">
        <f t="shared" si="12"/>
        <v>0</v>
      </c>
      <c r="M28" s="44">
        <f t="shared" si="12"/>
        <v>0</v>
      </c>
      <c r="N28" s="44">
        <f t="shared" si="12"/>
        <v>0</v>
      </c>
      <c r="O28" s="149"/>
      <c r="P28" s="149"/>
      <c r="Q28" s="13"/>
    </row>
    <row r="29" spans="1:17" x14ac:dyDescent="0.2">
      <c r="A29" s="61"/>
      <c r="B29" s="78" t="s">
        <v>96</v>
      </c>
      <c r="C29" s="77"/>
      <c r="D29" s="77"/>
      <c r="E29" s="44">
        <f t="shared" ref="E29:E30" si="13">SUM(F29:N29)</f>
        <v>77216</v>
      </c>
      <c r="F29" s="44">
        <f>F21</f>
        <v>0</v>
      </c>
      <c r="G29" s="44">
        <f t="shared" ref="G29:N29" si="14">G21</f>
        <v>11505</v>
      </c>
      <c r="H29" s="44">
        <f t="shared" si="14"/>
        <v>19440</v>
      </c>
      <c r="I29" s="44">
        <f t="shared" si="14"/>
        <v>26094.5</v>
      </c>
      <c r="J29" s="44">
        <f t="shared" si="14"/>
        <v>8928.4</v>
      </c>
      <c r="K29" s="44">
        <f t="shared" si="14"/>
        <v>11248.1</v>
      </c>
      <c r="L29" s="44">
        <f t="shared" si="14"/>
        <v>0</v>
      </c>
      <c r="M29" s="44">
        <f t="shared" si="14"/>
        <v>0</v>
      </c>
      <c r="N29" s="44">
        <f t="shared" si="14"/>
        <v>0</v>
      </c>
      <c r="O29" s="149"/>
      <c r="P29" s="149"/>
      <c r="Q29" s="13"/>
    </row>
    <row r="30" spans="1:17" x14ac:dyDescent="0.2">
      <c r="A30" s="61"/>
      <c r="B30" s="78" t="s">
        <v>22</v>
      </c>
      <c r="C30" s="77"/>
      <c r="D30" s="77"/>
      <c r="E30" s="44">
        <f t="shared" si="13"/>
        <v>9442.7000000000007</v>
      </c>
      <c r="F30" s="44">
        <f>F22</f>
        <v>0</v>
      </c>
      <c r="G30" s="44">
        <f t="shared" ref="G30:N30" si="15">G22</f>
        <v>1000</v>
      </c>
      <c r="H30" s="44">
        <f t="shared" si="15"/>
        <v>1600</v>
      </c>
      <c r="I30" s="44">
        <f t="shared" si="15"/>
        <v>3853</v>
      </c>
      <c r="J30" s="44">
        <f t="shared" si="15"/>
        <v>1286</v>
      </c>
      <c r="K30" s="44">
        <f t="shared" si="15"/>
        <v>1703.7</v>
      </c>
      <c r="L30" s="44">
        <f t="shared" si="15"/>
        <v>0</v>
      </c>
      <c r="M30" s="44">
        <f t="shared" si="15"/>
        <v>0</v>
      </c>
      <c r="N30" s="44">
        <f t="shared" si="15"/>
        <v>0</v>
      </c>
      <c r="O30" s="150"/>
      <c r="P30" s="150"/>
      <c r="Q30" s="13"/>
    </row>
    <row r="31" spans="1:17" x14ac:dyDescent="0.2">
      <c r="A31" s="98" t="s">
        <v>99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0"/>
      <c r="Q31" s="13"/>
    </row>
    <row r="32" spans="1:17" ht="32.25" customHeight="1" x14ac:dyDescent="0.2">
      <c r="A32" s="101" t="s">
        <v>147</v>
      </c>
      <c r="B32" s="102" t="s">
        <v>101</v>
      </c>
      <c r="C32" s="69" t="s">
        <v>97</v>
      </c>
      <c r="D32" s="103" t="s">
        <v>100</v>
      </c>
      <c r="E32" s="70">
        <f>SUM(F32:N32)</f>
        <v>135529.59999999998</v>
      </c>
      <c r="F32" s="70">
        <f>SUM(F33:F34)</f>
        <v>7570.4000000000005</v>
      </c>
      <c r="G32" s="70">
        <f t="shared" ref="G32:N32" si="16">SUM(G33:G34)</f>
        <v>8650.7999999999993</v>
      </c>
      <c r="H32" s="70">
        <f t="shared" si="16"/>
        <v>14333.300000000001</v>
      </c>
      <c r="I32" s="70">
        <f t="shared" si="16"/>
        <v>6091.1</v>
      </c>
      <c r="J32" s="70">
        <f t="shared" si="16"/>
        <v>27795.8</v>
      </c>
      <c r="K32" s="70">
        <f t="shared" si="16"/>
        <v>21016</v>
      </c>
      <c r="L32" s="70">
        <f t="shared" si="16"/>
        <v>27950.800000000003</v>
      </c>
      <c r="M32" s="70">
        <f t="shared" ref="M32" si="17">SUM(M33:M34)</f>
        <v>12196.9</v>
      </c>
      <c r="N32" s="70">
        <f t="shared" si="16"/>
        <v>9924.5</v>
      </c>
      <c r="O32" s="103"/>
      <c r="P32" s="103"/>
      <c r="Q32" s="13"/>
    </row>
    <row r="33" spans="1:21" ht="32.25" customHeight="1" x14ac:dyDescent="0.2">
      <c r="A33" s="101"/>
      <c r="B33" s="102"/>
      <c r="C33" s="69" t="s">
        <v>96</v>
      </c>
      <c r="D33" s="104"/>
      <c r="E33" s="70">
        <f>SUM(F33:N33)</f>
        <v>60755.199999999997</v>
      </c>
      <c r="F33" s="71">
        <f>F36+F40+F42</f>
        <v>0</v>
      </c>
      <c r="G33" s="71">
        <f t="shared" ref="G33:N33" si="18">G36+G40+G42</f>
        <v>2650</v>
      </c>
      <c r="H33" s="71">
        <f t="shared" si="18"/>
        <v>3086.5</v>
      </c>
      <c r="I33" s="71">
        <f t="shared" si="18"/>
        <v>630</v>
      </c>
      <c r="J33" s="71">
        <f t="shared" si="18"/>
        <v>20637.2</v>
      </c>
      <c r="K33" s="71">
        <f t="shared" si="18"/>
        <v>12000</v>
      </c>
      <c r="L33" s="71">
        <f t="shared" si="18"/>
        <v>16219.900000000001</v>
      </c>
      <c r="M33" s="71">
        <f t="shared" ref="M33" si="19">M36+M40+M42</f>
        <v>4137.3999999999996</v>
      </c>
      <c r="N33" s="71">
        <f t="shared" si="18"/>
        <v>1394.2</v>
      </c>
      <c r="O33" s="104"/>
      <c r="P33" s="104"/>
      <c r="Q33" s="13"/>
    </row>
    <row r="34" spans="1:21" ht="32.25" customHeight="1" x14ac:dyDescent="0.2">
      <c r="A34" s="101"/>
      <c r="B34" s="102"/>
      <c r="C34" s="69" t="s">
        <v>22</v>
      </c>
      <c r="D34" s="105"/>
      <c r="E34" s="70">
        <f>SUM(F34:N34)</f>
        <v>74774.400000000009</v>
      </c>
      <c r="F34" s="71">
        <f t="shared" ref="F34:N34" si="20">F35+F37+F38+F39+F41</f>
        <v>7570.4000000000005</v>
      </c>
      <c r="G34" s="71">
        <f t="shared" si="20"/>
        <v>6000.8</v>
      </c>
      <c r="H34" s="71">
        <f t="shared" si="20"/>
        <v>11246.800000000001</v>
      </c>
      <c r="I34" s="71">
        <f t="shared" si="20"/>
        <v>5461.1</v>
      </c>
      <c r="J34" s="71">
        <f t="shared" si="20"/>
        <v>7158.5999999999995</v>
      </c>
      <c r="K34" s="71">
        <f t="shared" si="20"/>
        <v>9016</v>
      </c>
      <c r="L34" s="71">
        <f t="shared" si="20"/>
        <v>11730.9</v>
      </c>
      <c r="M34" s="71">
        <f t="shared" ref="M34" si="21">M35+M37+M38+M39+M41</f>
        <v>8059.5</v>
      </c>
      <c r="N34" s="71">
        <f t="shared" si="20"/>
        <v>8530.2999999999993</v>
      </c>
      <c r="O34" s="105"/>
      <c r="P34" s="105"/>
      <c r="Q34" s="13"/>
    </row>
    <row r="35" spans="1:21" ht="24" x14ac:dyDescent="0.2">
      <c r="A35" s="118" t="s">
        <v>3</v>
      </c>
      <c r="B35" s="110" t="s">
        <v>54</v>
      </c>
      <c r="C35" s="55" t="s">
        <v>18</v>
      </c>
      <c r="D35" s="118" t="s">
        <v>102</v>
      </c>
      <c r="E35" s="16">
        <f>SUM(F35:N35)</f>
        <v>2025.7000000000003</v>
      </c>
      <c r="F35" s="17">
        <v>1154.2</v>
      </c>
      <c r="G35" s="18">
        <f>300-41.9</f>
        <v>258.10000000000002</v>
      </c>
      <c r="H35" s="18">
        <v>280</v>
      </c>
      <c r="I35" s="19">
        <v>70</v>
      </c>
      <c r="J35" s="19">
        <f>221.1+42.3</f>
        <v>263.39999999999998</v>
      </c>
      <c r="K35" s="19">
        <v>0</v>
      </c>
      <c r="L35" s="19">
        <v>0</v>
      </c>
      <c r="M35" s="19">
        <v>0</v>
      </c>
      <c r="N35" s="19">
        <v>0</v>
      </c>
      <c r="O35" s="110" t="s">
        <v>80</v>
      </c>
      <c r="P35" s="110" t="s">
        <v>55</v>
      </c>
      <c r="Q35" s="13"/>
      <c r="R35" s="117"/>
      <c r="S35" s="117"/>
      <c r="T35" s="117"/>
      <c r="U35" s="117"/>
    </row>
    <row r="36" spans="1:21" ht="24" x14ac:dyDescent="0.2">
      <c r="A36" s="119"/>
      <c r="B36" s="111"/>
      <c r="C36" s="55" t="s">
        <v>96</v>
      </c>
      <c r="D36" s="119"/>
      <c r="E36" s="16">
        <f t="shared" ref="E36:E42" si="22">SUM(F36:N36)</f>
        <v>5635.1</v>
      </c>
      <c r="F36" s="17">
        <v>0</v>
      </c>
      <c r="G36" s="18">
        <v>0</v>
      </c>
      <c r="H36" s="18">
        <v>0</v>
      </c>
      <c r="I36" s="19">
        <v>630</v>
      </c>
      <c r="J36" s="19">
        <f>4200+805.1</f>
        <v>5005.1000000000004</v>
      </c>
      <c r="K36" s="19">
        <v>0</v>
      </c>
      <c r="L36" s="19">
        <v>0</v>
      </c>
      <c r="M36" s="19">
        <v>0</v>
      </c>
      <c r="N36" s="19">
        <v>0</v>
      </c>
      <c r="O36" s="111"/>
      <c r="P36" s="111"/>
      <c r="Q36" s="13"/>
      <c r="R36" s="10"/>
      <c r="S36" s="10"/>
      <c r="T36" s="10"/>
      <c r="U36" s="10"/>
    </row>
    <row r="37" spans="1:21" ht="36" x14ac:dyDescent="0.2">
      <c r="A37" s="14" t="s">
        <v>19</v>
      </c>
      <c r="B37" s="33" t="s">
        <v>58</v>
      </c>
      <c r="C37" s="55" t="s">
        <v>18</v>
      </c>
      <c r="D37" s="15" t="s">
        <v>103</v>
      </c>
      <c r="E37" s="16">
        <f t="shared" si="22"/>
        <v>4464.7</v>
      </c>
      <c r="F37" s="17">
        <v>623.1</v>
      </c>
      <c r="G37" s="18">
        <v>415.9</v>
      </c>
      <c r="H37" s="18">
        <f>256+475+1037</f>
        <v>1768</v>
      </c>
      <c r="I37" s="19">
        <v>100</v>
      </c>
      <c r="J37" s="19">
        <v>0</v>
      </c>
      <c r="K37" s="19">
        <f>300+339.5+560.5-43</f>
        <v>1157</v>
      </c>
      <c r="L37" s="19">
        <v>60</v>
      </c>
      <c r="M37" s="19">
        <v>0</v>
      </c>
      <c r="N37" s="19">
        <v>340.7</v>
      </c>
      <c r="O37" s="79" t="s">
        <v>80</v>
      </c>
      <c r="P37" s="20" t="s">
        <v>56</v>
      </c>
      <c r="Q37" s="13"/>
      <c r="R37" s="117"/>
      <c r="S37" s="117"/>
      <c r="T37" s="117"/>
      <c r="U37" s="117"/>
    </row>
    <row r="38" spans="1:21" ht="72" x14ac:dyDescent="0.2">
      <c r="A38" s="55" t="s">
        <v>20</v>
      </c>
      <c r="B38" s="33" t="s">
        <v>59</v>
      </c>
      <c r="C38" s="14" t="s">
        <v>18</v>
      </c>
      <c r="D38" s="14" t="s">
        <v>100</v>
      </c>
      <c r="E38" s="16">
        <f t="shared" si="22"/>
        <v>33470.300000000003</v>
      </c>
      <c r="F38" s="17">
        <v>4076.3</v>
      </c>
      <c r="G38" s="21">
        <f>2674.4</f>
        <v>2674.4</v>
      </c>
      <c r="H38" s="21">
        <f>2910.3+298+487.4-7.5</f>
        <v>3688.2000000000003</v>
      </c>
      <c r="I38" s="19">
        <f>2917+590</f>
        <v>3507</v>
      </c>
      <c r="J38" s="19">
        <f>3604+39.9-10.7-144.3+9.7</f>
        <v>3498.6</v>
      </c>
      <c r="K38" s="19">
        <f>3701.8+95+33.9+235</f>
        <v>4065.7000000000003</v>
      </c>
      <c r="L38" s="19">
        <f>3849.9-95-2.8</f>
        <v>3752.1</v>
      </c>
      <c r="M38" s="19">
        <v>4003.9</v>
      </c>
      <c r="N38" s="19">
        <v>4204.1000000000004</v>
      </c>
      <c r="O38" s="54" t="s">
        <v>80</v>
      </c>
      <c r="P38" s="54" t="s">
        <v>57</v>
      </c>
      <c r="Q38" s="13"/>
      <c r="R38" s="10"/>
      <c r="S38" s="10"/>
      <c r="T38" s="10"/>
      <c r="U38" s="10"/>
    </row>
    <row r="39" spans="1:21" ht="24" x14ac:dyDescent="0.2">
      <c r="A39" s="118" t="s">
        <v>21</v>
      </c>
      <c r="B39" s="110" t="s">
        <v>82</v>
      </c>
      <c r="C39" s="55" t="s">
        <v>18</v>
      </c>
      <c r="D39" s="118" t="s">
        <v>100</v>
      </c>
      <c r="E39" s="16">
        <f t="shared" si="22"/>
        <v>34024.600000000006</v>
      </c>
      <c r="F39" s="17">
        <v>1716.8</v>
      </c>
      <c r="G39" s="18">
        <f>2264.5+312.6+41.9-60-57+150.4</f>
        <v>2652.4</v>
      </c>
      <c r="H39" s="18">
        <f>1339.3+654.8+343+3500-122.6-21-182.9</f>
        <v>5510.6</v>
      </c>
      <c r="I39" s="19">
        <f>1419.4+237.9+70+311.5-70-184.7</f>
        <v>1784.1000000000001</v>
      </c>
      <c r="J39" s="19">
        <f>2050.7+314.3+42.1+578.9-42.3-20-39.9-78+24.9+304.4-11.4+128.6</f>
        <v>3252.2999999999997</v>
      </c>
      <c r="K39" s="19">
        <f>2250+60+247.8+42.4+631.6+284.3+125+130+22.2</f>
        <v>3793.3</v>
      </c>
      <c r="L39" s="18">
        <f>2230.3+369.7+450+578.9+274+3836</f>
        <v>7738.9</v>
      </c>
      <c r="M39" s="18">
        <v>3695.7</v>
      </c>
      <c r="N39" s="18">
        <v>3880.5</v>
      </c>
      <c r="O39" s="110" t="s">
        <v>80</v>
      </c>
      <c r="P39" s="110" t="s">
        <v>83</v>
      </c>
      <c r="Q39" s="93"/>
      <c r="R39" s="10"/>
      <c r="S39" s="10"/>
      <c r="T39" s="10"/>
      <c r="U39" s="10"/>
    </row>
    <row r="40" spans="1:21" ht="24" x14ac:dyDescent="0.2">
      <c r="A40" s="119"/>
      <c r="B40" s="111"/>
      <c r="C40" s="14" t="s">
        <v>96</v>
      </c>
      <c r="D40" s="119"/>
      <c r="E40" s="16">
        <f t="shared" si="22"/>
        <v>46060.600000000006</v>
      </c>
      <c r="F40" s="17">
        <v>0</v>
      </c>
      <c r="G40" s="18">
        <v>2650</v>
      </c>
      <c r="H40" s="18">
        <v>3086.5</v>
      </c>
      <c r="I40" s="19">
        <v>0</v>
      </c>
      <c r="J40" s="19">
        <f>3178+11000-805.1+800</f>
        <v>14172.9</v>
      </c>
      <c r="K40" s="19">
        <v>12000</v>
      </c>
      <c r="L40" s="22">
        <f>11000+3151.2</f>
        <v>14151.2</v>
      </c>
      <c r="M40" s="22">
        <v>0</v>
      </c>
      <c r="N40" s="22">
        <v>0</v>
      </c>
      <c r="O40" s="120"/>
      <c r="P40" s="111"/>
      <c r="Q40" s="13"/>
      <c r="R40" s="10"/>
      <c r="S40" s="10"/>
      <c r="T40" s="10"/>
      <c r="U40" s="10"/>
    </row>
    <row r="41" spans="1:21" ht="24" x14ac:dyDescent="0.2">
      <c r="A41" s="118" t="s">
        <v>134</v>
      </c>
      <c r="B41" s="110" t="s">
        <v>105</v>
      </c>
      <c r="C41" s="55" t="s">
        <v>18</v>
      </c>
      <c r="D41" s="118" t="s">
        <v>104</v>
      </c>
      <c r="E41" s="16">
        <f t="shared" si="22"/>
        <v>789.1</v>
      </c>
      <c r="F41" s="17">
        <v>0</v>
      </c>
      <c r="G41" s="18">
        <v>0</v>
      </c>
      <c r="H41" s="18">
        <v>0</v>
      </c>
      <c r="I41" s="19">
        <v>0</v>
      </c>
      <c r="J41" s="19">
        <v>144.30000000000001</v>
      </c>
      <c r="K41" s="18">
        <f>98.2-98.2</f>
        <v>0</v>
      </c>
      <c r="L41" s="18">
        <v>179.9</v>
      </c>
      <c r="M41" s="18">
        <v>359.9</v>
      </c>
      <c r="N41" s="18">
        <v>105</v>
      </c>
      <c r="O41" s="110" t="s">
        <v>80</v>
      </c>
      <c r="P41" s="110" t="s">
        <v>57</v>
      </c>
      <c r="Q41" s="13"/>
      <c r="R41" s="10"/>
      <c r="S41" s="10"/>
      <c r="T41" s="10"/>
      <c r="U41" s="10"/>
    </row>
    <row r="42" spans="1:21" ht="24" x14ac:dyDescent="0.2">
      <c r="A42" s="119"/>
      <c r="B42" s="111"/>
      <c r="C42" s="14" t="s">
        <v>96</v>
      </c>
      <c r="D42" s="119"/>
      <c r="E42" s="16">
        <f t="shared" si="22"/>
        <v>9059.5</v>
      </c>
      <c r="F42" s="17">
        <v>0</v>
      </c>
      <c r="G42" s="18">
        <v>0</v>
      </c>
      <c r="H42" s="18">
        <v>0</v>
      </c>
      <c r="I42" s="19">
        <v>0</v>
      </c>
      <c r="J42" s="19">
        <v>1459.2</v>
      </c>
      <c r="K42" s="18">
        <f>992.7-992.7</f>
        <v>0</v>
      </c>
      <c r="L42" s="18">
        <v>2068.6999999999998</v>
      </c>
      <c r="M42" s="18">
        <v>4137.3999999999996</v>
      </c>
      <c r="N42" s="18">
        <v>1394.2</v>
      </c>
      <c r="O42" s="120"/>
      <c r="P42" s="111"/>
      <c r="Q42" s="93"/>
      <c r="R42" s="10"/>
      <c r="S42" s="10"/>
      <c r="T42" s="10"/>
      <c r="U42" s="10"/>
    </row>
    <row r="43" spans="1:21" ht="24" x14ac:dyDescent="0.2">
      <c r="A43" s="101" t="s">
        <v>148</v>
      </c>
      <c r="B43" s="102" t="s">
        <v>106</v>
      </c>
      <c r="C43" s="69" t="s">
        <v>97</v>
      </c>
      <c r="D43" s="103" t="s">
        <v>100</v>
      </c>
      <c r="E43" s="70">
        <f t="shared" ref="E43:E45" si="23">SUM(F43:N43)</f>
        <v>104975.40000000001</v>
      </c>
      <c r="F43" s="70">
        <f>SUM(F44:F45)</f>
        <v>20120.600000000002</v>
      </c>
      <c r="G43" s="70">
        <f t="shared" ref="G43" si="24">SUM(G44:G45)</f>
        <v>31963.599999999999</v>
      </c>
      <c r="H43" s="70">
        <f t="shared" ref="H43" si="25">SUM(H44:H45)</f>
        <v>15316.8</v>
      </c>
      <c r="I43" s="70">
        <f t="shared" ref="I43" si="26">SUM(I44:I45)</f>
        <v>15297.7</v>
      </c>
      <c r="J43" s="70">
        <f t="shared" ref="J43" si="27">SUM(J44:J45)</f>
        <v>4822.7999999999993</v>
      </c>
      <c r="K43" s="70">
        <f t="shared" ref="K43" si="28">SUM(K44:K45)</f>
        <v>9378</v>
      </c>
      <c r="L43" s="70">
        <f t="shared" ref="L43" si="29">SUM(L44:L45)</f>
        <v>6499.8</v>
      </c>
      <c r="M43" s="70">
        <f t="shared" ref="M43:N43" si="30">SUM(M44:M45)</f>
        <v>231</v>
      </c>
      <c r="N43" s="70">
        <f t="shared" si="30"/>
        <v>1345.1</v>
      </c>
      <c r="O43" s="103"/>
      <c r="P43" s="121"/>
      <c r="Q43" s="13"/>
      <c r="R43" s="10"/>
      <c r="S43" s="10"/>
      <c r="T43" s="10"/>
      <c r="U43" s="10"/>
    </row>
    <row r="44" spans="1:21" ht="24" x14ac:dyDescent="0.2">
      <c r="A44" s="101"/>
      <c r="B44" s="102"/>
      <c r="C44" s="69" t="s">
        <v>96</v>
      </c>
      <c r="D44" s="104"/>
      <c r="E44" s="70">
        <f t="shared" si="23"/>
        <v>10773.1</v>
      </c>
      <c r="F44" s="71">
        <f>F51+F53+F55</f>
        <v>0</v>
      </c>
      <c r="G44" s="71">
        <f t="shared" ref="G44:N44" si="31">G51+G53+G55</f>
        <v>540</v>
      </c>
      <c r="H44" s="71">
        <f t="shared" si="31"/>
        <v>0</v>
      </c>
      <c r="I44" s="71">
        <f t="shared" si="31"/>
        <v>7069</v>
      </c>
      <c r="J44" s="71">
        <f t="shared" si="31"/>
        <v>0</v>
      </c>
      <c r="K44" s="71">
        <f t="shared" si="31"/>
        <v>3164.1</v>
      </c>
      <c r="L44" s="71">
        <f t="shared" si="31"/>
        <v>0</v>
      </c>
      <c r="M44" s="71">
        <f t="shared" ref="M44" si="32">M51+M53+M55</f>
        <v>0</v>
      </c>
      <c r="N44" s="71">
        <f t="shared" si="31"/>
        <v>0</v>
      </c>
      <c r="O44" s="104"/>
      <c r="P44" s="104"/>
      <c r="Q44" s="13"/>
      <c r="R44" s="10"/>
      <c r="S44" s="10"/>
      <c r="T44" s="10"/>
      <c r="U44" s="10"/>
    </row>
    <row r="45" spans="1:21" ht="24" x14ac:dyDescent="0.2">
      <c r="A45" s="101"/>
      <c r="B45" s="102"/>
      <c r="C45" s="69" t="s">
        <v>22</v>
      </c>
      <c r="D45" s="105"/>
      <c r="E45" s="70">
        <f t="shared" si="23"/>
        <v>94202.3</v>
      </c>
      <c r="F45" s="71">
        <f>F46+F47+F48+F49+F50+F52+F54+F56</f>
        <v>20120.600000000002</v>
      </c>
      <c r="G45" s="71">
        <f t="shared" ref="G45:N45" si="33">G46+G47+G48+G49+G50+G52+G54+G56</f>
        <v>31423.599999999999</v>
      </c>
      <c r="H45" s="71">
        <f t="shared" si="33"/>
        <v>15316.8</v>
      </c>
      <c r="I45" s="71">
        <f t="shared" si="33"/>
        <v>8228.7000000000007</v>
      </c>
      <c r="J45" s="71">
        <f t="shared" si="33"/>
        <v>4822.7999999999993</v>
      </c>
      <c r="K45" s="71">
        <f t="shared" si="33"/>
        <v>6213.9</v>
      </c>
      <c r="L45" s="71">
        <f t="shared" si="33"/>
        <v>6499.8</v>
      </c>
      <c r="M45" s="71">
        <f t="shared" ref="M45" si="34">M46+M47+M48+M49+M50+M52+M54+M56</f>
        <v>231</v>
      </c>
      <c r="N45" s="71">
        <f t="shared" si="33"/>
        <v>1345.1</v>
      </c>
      <c r="O45" s="105"/>
      <c r="P45" s="105"/>
      <c r="Q45" s="13"/>
      <c r="R45" s="10"/>
      <c r="S45" s="10"/>
      <c r="T45" s="10"/>
      <c r="U45" s="10"/>
    </row>
    <row r="46" spans="1:21" ht="111.75" customHeight="1" x14ac:dyDescent="0.2">
      <c r="A46" s="23" t="s">
        <v>4</v>
      </c>
      <c r="B46" s="24" t="s">
        <v>129</v>
      </c>
      <c r="C46" s="14" t="s">
        <v>18</v>
      </c>
      <c r="D46" s="15" t="s">
        <v>159</v>
      </c>
      <c r="E46" s="16">
        <f>SUM(F46:N46)</f>
        <v>48357.2</v>
      </c>
      <c r="F46" s="17">
        <v>18080.7</v>
      </c>
      <c r="G46" s="18">
        <f>100+29974+5+100+97.5</f>
        <v>30276.5</v>
      </c>
      <c r="H46" s="18">
        <v>0</v>
      </c>
      <c r="I46" s="18">
        <v>0</v>
      </c>
      <c r="J46" s="18">
        <v>0</v>
      </c>
      <c r="K46" s="18">
        <v>0</v>
      </c>
      <c r="L46" s="19">
        <v>0</v>
      </c>
      <c r="M46" s="19">
        <v>0</v>
      </c>
      <c r="N46" s="19">
        <v>0</v>
      </c>
      <c r="O46" s="79" t="s">
        <v>80</v>
      </c>
      <c r="P46" s="20" t="s">
        <v>57</v>
      </c>
      <c r="Q46" s="13"/>
      <c r="R46" s="10"/>
      <c r="S46" s="10"/>
      <c r="T46" s="10"/>
      <c r="U46" s="10"/>
    </row>
    <row r="47" spans="1:21" ht="72" x14ac:dyDescent="0.2">
      <c r="A47" s="23" t="s">
        <v>5</v>
      </c>
      <c r="B47" s="24" t="s">
        <v>130</v>
      </c>
      <c r="C47" s="14" t="s">
        <v>18</v>
      </c>
      <c r="D47" s="15" t="s">
        <v>159</v>
      </c>
      <c r="E47" s="16">
        <f t="shared" ref="E47:E56" si="35">SUM(F47:N47)</f>
        <v>2863.5</v>
      </c>
      <c r="F47" s="17">
        <v>1963.9</v>
      </c>
      <c r="G47" s="18">
        <v>899.6</v>
      </c>
      <c r="H47" s="18">
        <v>0</v>
      </c>
      <c r="I47" s="18">
        <v>0</v>
      </c>
      <c r="J47" s="18">
        <v>0</v>
      </c>
      <c r="K47" s="18">
        <v>0</v>
      </c>
      <c r="L47" s="19">
        <v>0</v>
      </c>
      <c r="M47" s="19">
        <v>0</v>
      </c>
      <c r="N47" s="19">
        <v>0</v>
      </c>
      <c r="O47" s="79" t="s">
        <v>80</v>
      </c>
      <c r="P47" s="20" t="s">
        <v>57</v>
      </c>
      <c r="Q47" s="13"/>
      <c r="R47" s="10"/>
      <c r="S47" s="10"/>
      <c r="T47" s="10"/>
      <c r="U47" s="10"/>
    </row>
    <row r="48" spans="1:21" ht="72" x14ac:dyDescent="0.2">
      <c r="A48" s="23" t="s">
        <v>6</v>
      </c>
      <c r="B48" s="24" t="s">
        <v>131</v>
      </c>
      <c r="C48" s="14" t="s">
        <v>18</v>
      </c>
      <c r="D48" s="15">
        <v>2017</v>
      </c>
      <c r="E48" s="16">
        <f t="shared" si="35"/>
        <v>39</v>
      </c>
      <c r="F48" s="17">
        <v>39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9">
        <v>0</v>
      </c>
      <c r="M48" s="19">
        <v>0</v>
      </c>
      <c r="N48" s="19">
        <v>0</v>
      </c>
      <c r="O48" s="79" t="s">
        <v>80</v>
      </c>
      <c r="P48" s="20" t="s">
        <v>57</v>
      </c>
      <c r="Q48" s="13"/>
      <c r="R48" s="10"/>
      <c r="S48" s="10"/>
      <c r="T48" s="10"/>
      <c r="U48" s="10"/>
    </row>
    <row r="49" spans="1:21" ht="72" x14ac:dyDescent="0.2">
      <c r="A49" s="23" t="s">
        <v>108</v>
      </c>
      <c r="B49" s="24" t="s">
        <v>132</v>
      </c>
      <c r="C49" s="14" t="s">
        <v>18</v>
      </c>
      <c r="D49" s="15">
        <v>2017</v>
      </c>
      <c r="E49" s="16">
        <f t="shared" si="35"/>
        <v>37</v>
      </c>
      <c r="F49" s="17">
        <v>37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9">
        <v>0</v>
      </c>
      <c r="M49" s="19">
        <v>0</v>
      </c>
      <c r="N49" s="19">
        <v>0</v>
      </c>
      <c r="O49" s="79" t="s">
        <v>80</v>
      </c>
      <c r="P49" s="20" t="s">
        <v>57</v>
      </c>
      <c r="Q49" s="13"/>
      <c r="R49" s="10"/>
      <c r="S49" s="10"/>
      <c r="T49" s="10"/>
      <c r="U49" s="10"/>
    </row>
    <row r="50" spans="1:21" ht="24" x14ac:dyDescent="0.2">
      <c r="A50" s="132" t="s">
        <v>149</v>
      </c>
      <c r="B50" s="110" t="s">
        <v>133</v>
      </c>
      <c r="C50" s="14" t="s">
        <v>18</v>
      </c>
      <c r="D50" s="15">
        <v>2018</v>
      </c>
      <c r="E50" s="16">
        <f t="shared" si="35"/>
        <v>30</v>
      </c>
      <c r="F50" s="17">
        <v>0</v>
      </c>
      <c r="G50" s="18">
        <v>30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10" t="s">
        <v>80</v>
      </c>
      <c r="P50" s="110" t="s">
        <v>57</v>
      </c>
      <c r="Q50" s="13"/>
      <c r="R50" s="10"/>
      <c r="S50" s="10"/>
      <c r="T50" s="10"/>
      <c r="U50" s="10"/>
    </row>
    <row r="51" spans="1:21" ht="24" x14ac:dyDescent="0.2">
      <c r="A51" s="133"/>
      <c r="B51" s="111"/>
      <c r="C51" s="14" t="s">
        <v>96</v>
      </c>
      <c r="D51" s="15">
        <v>2018</v>
      </c>
      <c r="E51" s="16">
        <f t="shared" si="35"/>
        <v>270</v>
      </c>
      <c r="F51" s="17">
        <v>0</v>
      </c>
      <c r="G51" s="18">
        <v>270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11"/>
      <c r="P51" s="111"/>
      <c r="Q51" s="13"/>
      <c r="R51" s="10"/>
      <c r="S51" s="10"/>
      <c r="T51" s="10"/>
      <c r="U51" s="10"/>
    </row>
    <row r="52" spans="1:21" ht="24" x14ac:dyDescent="0.2">
      <c r="A52" s="132" t="s">
        <v>150</v>
      </c>
      <c r="B52" s="110" t="s">
        <v>81</v>
      </c>
      <c r="C52" s="14" t="s">
        <v>18</v>
      </c>
      <c r="D52" s="15">
        <v>2018</v>
      </c>
      <c r="E52" s="16">
        <f t="shared" si="35"/>
        <v>30</v>
      </c>
      <c r="F52" s="17">
        <v>0</v>
      </c>
      <c r="G52" s="18">
        <v>30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10" t="s">
        <v>80</v>
      </c>
      <c r="P52" s="110" t="s">
        <v>57</v>
      </c>
      <c r="Q52" s="13"/>
    </row>
    <row r="53" spans="1:21" ht="24" x14ac:dyDescent="0.2">
      <c r="A53" s="133"/>
      <c r="B53" s="111"/>
      <c r="C53" s="14" t="s">
        <v>96</v>
      </c>
      <c r="D53" s="15">
        <v>2018</v>
      </c>
      <c r="E53" s="16">
        <f t="shared" si="35"/>
        <v>270</v>
      </c>
      <c r="F53" s="17">
        <v>0</v>
      </c>
      <c r="G53" s="18">
        <v>270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11"/>
      <c r="P53" s="111"/>
      <c r="Q53" s="13"/>
    </row>
    <row r="54" spans="1:21" ht="24" x14ac:dyDescent="0.2">
      <c r="A54" s="151" t="s">
        <v>151</v>
      </c>
      <c r="B54" s="110" t="s">
        <v>86</v>
      </c>
      <c r="C54" s="14" t="s">
        <v>18</v>
      </c>
      <c r="D54" s="129" t="s">
        <v>175</v>
      </c>
      <c r="E54" s="16">
        <f t="shared" si="35"/>
        <v>39897.199999999997</v>
      </c>
      <c r="F54" s="17">
        <v>0</v>
      </c>
      <c r="G54" s="18">
        <v>0</v>
      </c>
      <c r="H54" s="18">
        <f>300+4800+4000+2000+75+239.4+410.2+974.9+1430.3+337</f>
        <v>14566.8</v>
      </c>
      <c r="I54" s="18">
        <f>309-119+6128.2+175.3+30+44.3</f>
        <v>6567.8</v>
      </c>
      <c r="J54" s="18">
        <f>3697.6+305.7+20+78+74.9-24.9+294.2-32.7+60</f>
        <v>4472.7999999999993</v>
      </c>
      <c r="K54" s="18">
        <f>170+1000+312.9+1800-1800+258.1+107.5+152.6+450+184.5+44+390+1000+300+50+74.4+34.1+38.2+418.8+1128.5+226.4-955.3+25+131.2+230.2+12.6+150+280.2</f>
        <v>6213.9</v>
      </c>
      <c r="L54" s="25">
        <f>220+2800+3000+65+50+300+64.8</f>
        <v>6499.8</v>
      </c>
      <c r="M54" s="25">
        <v>231</v>
      </c>
      <c r="N54" s="25">
        <v>1345.1</v>
      </c>
      <c r="O54" s="110" t="s">
        <v>80</v>
      </c>
      <c r="P54" s="110" t="s">
        <v>57</v>
      </c>
      <c r="Q54" s="13"/>
    </row>
    <row r="55" spans="1:21" ht="24" x14ac:dyDescent="0.2">
      <c r="A55" s="152"/>
      <c r="B55" s="111"/>
      <c r="C55" s="14" t="s">
        <v>96</v>
      </c>
      <c r="D55" s="130"/>
      <c r="E55" s="16">
        <f t="shared" si="35"/>
        <v>10233.1</v>
      </c>
      <c r="F55" s="17">
        <v>0</v>
      </c>
      <c r="G55" s="18">
        <v>0</v>
      </c>
      <c r="H55" s="18">
        <v>0</v>
      </c>
      <c r="I55" s="18">
        <v>7069</v>
      </c>
      <c r="J55" s="18">
        <v>0</v>
      </c>
      <c r="K55" s="18">
        <v>3164.1</v>
      </c>
      <c r="L55" s="25">
        <v>0</v>
      </c>
      <c r="M55" s="25">
        <v>0</v>
      </c>
      <c r="N55" s="25">
        <v>0</v>
      </c>
      <c r="O55" s="111"/>
      <c r="P55" s="111"/>
      <c r="Q55" s="13"/>
    </row>
    <row r="56" spans="1:21" ht="60" x14ac:dyDescent="0.2">
      <c r="A56" s="58" t="s">
        <v>152</v>
      </c>
      <c r="B56" s="20" t="s">
        <v>77</v>
      </c>
      <c r="C56" s="14" t="s">
        <v>22</v>
      </c>
      <c r="D56" s="31" t="s">
        <v>107</v>
      </c>
      <c r="E56" s="16">
        <f t="shared" si="35"/>
        <v>2948.4</v>
      </c>
      <c r="F56" s="18">
        <v>0</v>
      </c>
      <c r="G56" s="18">
        <f>87.5+100</f>
        <v>187.5</v>
      </c>
      <c r="H56" s="18">
        <v>750</v>
      </c>
      <c r="I56" s="18">
        <f>450+1500-337.1+33+15</f>
        <v>1660.9</v>
      </c>
      <c r="J56" s="18">
        <v>350</v>
      </c>
      <c r="K56" s="18">
        <v>0</v>
      </c>
      <c r="L56" s="18">
        <v>0</v>
      </c>
      <c r="M56" s="18">
        <v>0</v>
      </c>
      <c r="N56" s="18">
        <v>0</v>
      </c>
      <c r="O56" s="20" t="s">
        <v>80</v>
      </c>
      <c r="P56" s="20" t="s">
        <v>78</v>
      </c>
      <c r="Q56" s="13"/>
    </row>
    <row r="57" spans="1:21" ht="24" x14ac:dyDescent="0.2">
      <c r="A57" s="122" t="s">
        <v>153</v>
      </c>
      <c r="B57" s="125" t="s">
        <v>143</v>
      </c>
      <c r="C57" s="69" t="s">
        <v>109</v>
      </c>
      <c r="D57" s="103" t="s">
        <v>100</v>
      </c>
      <c r="E57" s="70">
        <f>E60+E58+E59</f>
        <v>275150.2</v>
      </c>
      <c r="F57" s="72">
        <f>SUM(F58:F60)</f>
        <v>29492.1</v>
      </c>
      <c r="G57" s="72">
        <f t="shared" ref="G57:N57" si="36">SUM(G58:G60)</f>
        <v>44507.9</v>
      </c>
      <c r="H57" s="72">
        <f t="shared" si="36"/>
        <v>62145.200000000004</v>
      </c>
      <c r="I57" s="72">
        <f t="shared" si="36"/>
        <v>41372.699999999997</v>
      </c>
      <c r="J57" s="72">
        <f t="shared" si="36"/>
        <v>25152.5</v>
      </c>
      <c r="K57" s="72">
        <f t="shared" si="36"/>
        <v>20444.699999999997</v>
      </c>
      <c r="L57" s="72">
        <f t="shared" si="36"/>
        <v>24860.1</v>
      </c>
      <c r="M57" s="72">
        <f t="shared" ref="M57" si="37">SUM(M58:M60)</f>
        <v>8939</v>
      </c>
      <c r="N57" s="72">
        <f t="shared" si="36"/>
        <v>18236</v>
      </c>
      <c r="O57" s="103"/>
      <c r="P57" s="112"/>
      <c r="Q57" s="13"/>
    </row>
    <row r="58" spans="1:21" ht="24" x14ac:dyDescent="0.2">
      <c r="A58" s="123"/>
      <c r="B58" s="126"/>
      <c r="C58" s="69" t="s">
        <v>96</v>
      </c>
      <c r="D58" s="104"/>
      <c r="E58" s="70">
        <f>SUM(F58:N58)</f>
        <v>35468.9</v>
      </c>
      <c r="F58" s="73">
        <f>F67</f>
        <v>742.9</v>
      </c>
      <c r="G58" s="73">
        <f t="shared" ref="G58:N58" si="38">G67</f>
        <v>742.9</v>
      </c>
      <c r="H58" s="73">
        <f t="shared" si="38"/>
        <v>5192.6000000000004</v>
      </c>
      <c r="I58" s="73">
        <f t="shared" si="38"/>
        <v>19054.2</v>
      </c>
      <c r="J58" s="73">
        <f t="shared" si="38"/>
        <v>7236.3</v>
      </c>
      <c r="K58" s="73">
        <f t="shared" si="38"/>
        <v>2500</v>
      </c>
      <c r="L58" s="73">
        <f t="shared" si="38"/>
        <v>0</v>
      </c>
      <c r="M58" s="73">
        <f t="shared" ref="M58" si="39">M67</f>
        <v>0</v>
      </c>
      <c r="N58" s="73">
        <f t="shared" si="38"/>
        <v>0</v>
      </c>
      <c r="O58" s="104"/>
      <c r="P58" s="128"/>
      <c r="Q58" s="13"/>
    </row>
    <row r="59" spans="1:21" ht="48" x14ac:dyDescent="0.2">
      <c r="A59" s="123"/>
      <c r="B59" s="126"/>
      <c r="C59" s="69" t="s">
        <v>68</v>
      </c>
      <c r="D59" s="104"/>
      <c r="E59" s="70">
        <f>SUM(F59:N59)</f>
        <v>48218.5</v>
      </c>
      <c r="F59" s="73">
        <f>F68</f>
        <v>12263.4</v>
      </c>
      <c r="G59" s="73">
        <f t="shared" ref="G59:N59" si="40">G68</f>
        <v>14955.1</v>
      </c>
      <c r="H59" s="73">
        <f t="shared" si="40"/>
        <v>21000</v>
      </c>
      <c r="I59" s="73">
        <f t="shared" si="40"/>
        <v>0</v>
      </c>
      <c r="J59" s="73">
        <f t="shared" si="40"/>
        <v>0</v>
      </c>
      <c r="K59" s="73">
        <f t="shared" si="40"/>
        <v>0</v>
      </c>
      <c r="L59" s="73">
        <f t="shared" si="40"/>
        <v>0</v>
      </c>
      <c r="M59" s="73">
        <f t="shared" ref="M59" si="41">M68</f>
        <v>0</v>
      </c>
      <c r="N59" s="73">
        <f t="shared" si="40"/>
        <v>0</v>
      </c>
      <c r="O59" s="104"/>
      <c r="P59" s="128"/>
      <c r="Q59" s="13"/>
    </row>
    <row r="60" spans="1:21" ht="24" x14ac:dyDescent="0.2">
      <c r="A60" s="124"/>
      <c r="B60" s="127"/>
      <c r="C60" s="69" t="s">
        <v>22</v>
      </c>
      <c r="D60" s="105"/>
      <c r="E60" s="70">
        <f>SUM(F60:N60)</f>
        <v>191462.80000000002</v>
      </c>
      <c r="F60" s="73">
        <f>SUM(F61+F62+F63+F64+F65+F66+F69+F70)</f>
        <v>16485.8</v>
      </c>
      <c r="G60" s="73">
        <f t="shared" ref="G60:N60" si="42">SUM(G61+G62+G63+G64+G65+G66+G69+G70)</f>
        <v>28809.9</v>
      </c>
      <c r="H60" s="73">
        <f t="shared" si="42"/>
        <v>35952.600000000006</v>
      </c>
      <c r="I60" s="73">
        <f t="shared" si="42"/>
        <v>22318.5</v>
      </c>
      <c r="J60" s="73">
        <f t="shared" si="42"/>
        <v>17916.2</v>
      </c>
      <c r="K60" s="73">
        <f t="shared" si="42"/>
        <v>17944.699999999997</v>
      </c>
      <c r="L60" s="73">
        <f t="shared" si="42"/>
        <v>24860.1</v>
      </c>
      <c r="M60" s="73">
        <f t="shared" ref="M60" si="43">SUM(M61+M62+M63+M64+M65+M66+M69+M70)</f>
        <v>8939</v>
      </c>
      <c r="N60" s="73">
        <f t="shared" si="42"/>
        <v>18236</v>
      </c>
      <c r="O60" s="105"/>
      <c r="P60" s="113"/>
      <c r="Q60" s="13"/>
    </row>
    <row r="61" spans="1:21" ht="72" x14ac:dyDescent="0.2">
      <c r="A61" s="59" t="s">
        <v>7</v>
      </c>
      <c r="B61" s="20" t="s">
        <v>40</v>
      </c>
      <c r="C61" s="14" t="s">
        <v>22</v>
      </c>
      <c r="D61" s="60" t="s">
        <v>160</v>
      </c>
      <c r="E61" s="16">
        <f>SUM(F61:N61)</f>
        <v>1216.7</v>
      </c>
      <c r="F61" s="26">
        <v>98.5</v>
      </c>
      <c r="G61" s="27">
        <f>205-5-71.5</f>
        <v>128.5</v>
      </c>
      <c r="H61" s="27">
        <v>150</v>
      </c>
      <c r="I61" s="28">
        <v>150</v>
      </c>
      <c r="J61" s="28">
        <f>156-156</f>
        <v>0</v>
      </c>
      <c r="K61" s="28">
        <v>162</v>
      </c>
      <c r="L61" s="28">
        <v>168.5</v>
      </c>
      <c r="M61" s="28">
        <v>175.2</v>
      </c>
      <c r="N61" s="28">
        <v>184</v>
      </c>
      <c r="O61" s="20" t="s">
        <v>80</v>
      </c>
      <c r="P61" s="20" t="s">
        <v>32</v>
      </c>
      <c r="Q61" s="13"/>
    </row>
    <row r="62" spans="1:21" ht="72" x14ac:dyDescent="0.2">
      <c r="A62" s="59" t="s">
        <v>8</v>
      </c>
      <c r="B62" s="33" t="s">
        <v>65</v>
      </c>
      <c r="C62" s="14" t="s">
        <v>22</v>
      </c>
      <c r="D62" s="60" t="s">
        <v>161</v>
      </c>
      <c r="E62" s="16">
        <f t="shared" ref="E62:E70" si="44">SUM(F62:N62)</f>
        <v>695</v>
      </c>
      <c r="F62" s="17">
        <v>0</v>
      </c>
      <c r="G62" s="18">
        <v>200</v>
      </c>
      <c r="H62" s="18">
        <v>495</v>
      </c>
      <c r="I62" s="18">
        <f>100-67-33</f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20" t="s">
        <v>80</v>
      </c>
      <c r="P62" s="20" t="s">
        <v>32</v>
      </c>
      <c r="Q62" s="13"/>
    </row>
    <row r="63" spans="1:21" ht="72" x14ac:dyDescent="0.2">
      <c r="A63" s="59" t="s">
        <v>16</v>
      </c>
      <c r="B63" s="33" t="s">
        <v>87</v>
      </c>
      <c r="C63" s="14" t="s">
        <v>22</v>
      </c>
      <c r="D63" s="60" t="s">
        <v>162</v>
      </c>
      <c r="E63" s="16">
        <f t="shared" si="44"/>
        <v>300</v>
      </c>
      <c r="F63" s="17">
        <v>0</v>
      </c>
      <c r="G63" s="18">
        <v>0</v>
      </c>
      <c r="H63" s="18">
        <v>100</v>
      </c>
      <c r="I63" s="18">
        <v>200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20" t="s">
        <v>80</v>
      </c>
      <c r="P63" s="20" t="s">
        <v>32</v>
      </c>
      <c r="Q63" s="13"/>
    </row>
    <row r="64" spans="1:21" ht="72" x14ac:dyDescent="0.2">
      <c r="A64" s="59" t="s">
        <v>72</v>
      </c>
      <c r="B64" s="33" t="s">
        <v>88</v>
      </c>
      <c r="C64" s="14" t="s">
        <v>22</v>
      </c>
      <c r="D64" s="60">
        <v>2021</v>
      </c>
      <c r="E64" s="16">
        <f t="shared" si="44"/>
        <v>770</v>
      </c>
      <c r="F64" s="17">
        <v>0</v>
      </c>
      <c r="G64" s="18">
        <v>0</v>
      </c>
      <c r="H64" s="18">
        <v>0</v>
      </c>
      <c r="I64" s="18">
        <v>0</v>
      </c>
      <c r="J64" s="18">
        <v>350</v>
      </c>
      <c r="K64" s="18">
        <v>0</v>
      </c>
      <c r="L64" s="18">
        <v>420</v>
      </c>
      <c r="M64" s="18">
        <v>0</v>
      </c>
      <c r="N64" s="18">
        <v>0</v>
      </c>
      <c r="O64" s="20" t="s">
        <v>80</v>
      </c>
      <c r="P64" s="20" t="s">
        <v>32</v>
      </c>
      <c r="Q64" s="13"/>
    </row>
    <row r="65" spans="1:22" ht="72" x14ac:dyDescent="0.2">
      <c r="A65" s="14" t="s">
        <v>154</v>
      </c>
      <c r="B65" s="20" t="s">
        <v>60</v>
      </c>
      <c r="C65" s="14" t="s">
        <v>18</v>
      </c>
      <c r="D65" s="15" t="s">
        <v>100</v>
      </c>
      <c r="E65" s="16">
        <f t="shared" si="44"/>
        <v>38133.399999999994</v>
      </c>
      <c r="F65" s="17">
        <v>1876.3</v>
      </c>
      <c r="G65" s="18">
        <f>2450.6+255+192+45.7</f>
        <v>2943.2999999999997</v>
      </c>
      <c r="H65" s="18">
        <f>6660.2-51.5-12.2</f>
        <v>6596.5</v>
      </c>
      <c r="I65" s="18">
        <f>2800+867.9-82.1</f>
        <v>3585.8</v>
      </c>
      <c r="J65" s="18">
        <v>5125</v>
      </c>
      <c r="K65" s="18">
        <f>5565+309.7+142.1-24</f>
        <v>5992.8</v>
      </c>
      <c r="L65" s="18">
        <f>1593.5+2702.1+350-62</f>
        <v>4583.6000000000004</v>
      </c>
      <c r="M65" s="18">
        <v>1673.2</v>
      </c>
      <c r="N65" s="18">
        <f>4000+1756.9</f>
        <v>5756.9</v>
      </c>
      <c r="O65" s="20" t="s">
        <v>42</v>
      </c>
      <c r="P65" s="20" t="s">
        <v>32</v>
      </c>
      <c r="Q65" s="13"/>
    </row>
    <row r="66" spans="1:22" ht="24" x14ac:dyDescent="0.2">
      <c r="A66" s="118" t="s">
        <v>155</v>
      </c>
      <c r="B66" s="110" t="s">
        <v>48</v>
      </c>
      <c r="C66" s="14" t="s">
        <v>22</v>
      </c>
      <c r="D66" s="118" t="s">
        <v>100</v>
      </c>
      <c r="E66" s="16">
        <f t="shared" si="44"/>
        <v>75581.8</v>
      </c>
      <c r="F66" s="17">
        <v>906</v>
      </c>
      <c r="G66" s="18">
        <v>8454.9</v>
      </c>
      <c r="H66" s="27">
        <f>15000+410.2+239.4+974.9-239.4-410.2-974.9+3720+760+713.4-1406.6-17.8+21+95.4</f>
        <v>18885.400000000005</v>
      </c>
      <c r="I66" s="27">
        <f>6818.8+500+1000+156.1+881.7+408.6+119.8-30</f>
        <v>9855</v>
      </c>
      <c r="J66" s="27">
        <f>8702.1+315.8-8.4-11-100-42.3</f>
        <v>8856.2000000000007</v>
      </c>
      <c r="K66" s="27">
        <f>8644.5-322.2-76.5-38.2-64-631.6-281-181.6-103.1+555+393.7</f>
        <v>7894.9999999999973</v>
      </c>
      <c r="L66" s="30">
        <f>6000+1200+564.3+650+1010+700-125-270</f>
        <v>9729.2999999999993</v>
      </c>
      <c r="M66" s="30">
        <v>3000</v>
      </c>
      <c r="N66" s="30">
        <v>8000</v>
      </c>
      <c r="O66" s="110" t="s">
        <v>42</v>
      </c>
      <c r="P66" s="110" t="s">
        <v>71</v>
      </c>
      <c r="Q66" s="13"/>
    </row>
    <row r="67" spans="1:22" s="11" customFormat="1" ht="24" x14ac:dyDescent="0.2">
      <c r="A67" s="131"/>
      <c r="B67" s="120"/>
      <c r="C67" s="14" t="s">
        <v>96</v>
      </c>
      <c r="D67" s="131"/>
      <c r="E67" s="16">
        <f t="shared" si="44"/>
        <v>35468.9</v>
      </c>
      <c r="F67" s="17">
        <v>742.9</v>
      </c>
      <c r="G67" s="18">
        <v>742.9</v>
      </c>
      <c r="H67" s="27">
        <f>736.8+4455.8</f>
        <v>5192.6000000000004</v>
      </c>
      <c r="I67" s="27">
        <f>726+1578.2+16750</f>
        <v>19054.2</v>
      </c>
      <c r="J67" s="27">
        <f>6000+1236.3</f>
        <v>7236.3</v>
      </c>
      <c r="K67" s="27">
        <f>14500-12000</f>
        <v>2500</v>
      </c>
      <c r="L67" s="27">
        <v>0</v>
      </c>
      <c r="M67" s="27">
        <v>0</v>
      </c>
      <c r="N67" s="27">
        <v>0</v>
      </c>
      <c r="O67" s="120"/>
      <c r="P67" s="120"/>
      <c r="Q67" s="93">
        <f>L69+L61+L65</f>
        <v>8685.4000000000015</v>
      </c>
    </row>
    <row r="68" spans="1:22" s="11" customFormat="1" ht="48" x14ac:dyDescent="0.2">
      <c r="A68" s="119"/>
      <c r="B68" s="111"/>
      <c r="C68" s="14" t="s">
        <v>68</v>
      </c>
      <c r="D68" s="119"/>
      <c r="E68" s="16">
        <f t="shared" si="44"/>
        <v>48218.5</v>
      </c>
      <c r="F68" s="17">
        <v>12263.4</v>
      </c>
      <c r="G68" s="18">
        <f>15000-44.9</f>
        <v>14955.1</v>
      </c>
      <c r="H68" s="27">
        <v>21000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111"/>
      <c r="P68" s="111"/>
      <c r="Q68" s="13"/>
    </row>
    <row r="69" spans="1:22" s="11" customFormat="1" ht="72" x14ac:dyDescent="0.2">
      <c r="A69" s="14" t="s">
        <v>156</v>
      </c>
      <c r="B69" s="24" t="s">
        <v>49</v>
      </c>
      <c r="C69" s="14" t="s">
        <v>18</v>
      </c>
      <c r="D69" s="15" t="s">
        <v>100</v>
      </c>
      <c r="E69" s="16">
        <f t="shared" si="44"/>
        <v>32061.699999999997</v>
      </c>
      <c r="F69" s="32">
        <v>2500</v>
      </c>
      <c r="G69" s="21">
        <v>3000</v>
      </c>
      <c r="H69" s="21">
        <v>3375.7</v>
      </c>
      <c r="I69" s="19">
        <v>3500</v>
      </c>
      <c r="J69" s="19">
        <v>3585</v>
      </c>
      <c r="K69" s="19">
        <v>3782</v>
      </c>
      <c r="L69" s="19">
        <v>3933.3</v>
      </c>
      <c r="M69" s="19">
        <v>4090.6</v>
      </c>
      <c r="N69" s="19">
        <v>4295.1000000000004</v>
      </c>
      <c r="O69" s="29" t="s">
        <v>42</v>
      </c>
      <c r="P69" s="54" t="s">
        <v>32</v>
      </c>
      <c r="Q69" s="13"/>
    </row>
    <row r="70" spans="1:22" s="11" customFormat="1" ht="36" x14ac:dyDescent="0.2">
      <c r="A70" s="23" t="s">
        <v>157</v>
      </c>
      <c r="B70" s="33" t="s">
        <v>64</v>
      </c>
      <c r="C70" s="14" t="s">
        <v>18</v>
      </c>
      <c r="D70" s="15" t="s">
        <v>110</v>
      </c>
      <c r="E70" s="16">
        <f t="shared" si="44"/>
        <v>42704.200000000004</v>
      </c>
      <c r="F70" s="17">
        <v>11105</v>
      </c>
      <c r="G70" s="18">
        <f>13513.7+569.5</f>
        <v>14083.2</v>
      </c>
      <c r="H70" s="18">
        <v>6350</v>
      </c>
      <c r="I70" s="18">
        <f>4960.7+67</f>
        <v>5027.7</v>
      </c>
      <c r="J70" s="18">
        <v>0</v>
      </c>
      <c r="K70" s="18">
        <f>5722.2+133.9-5743.2</f>
        <v>112.89999999999964</v>
      </c>
      <c r="L70" s="18">
        <f>6000+190.4+42.1-130-77.1</f>
        <v>6025.4</v>
      </c>
      <c r="M70" s="18">
        <v>0</v>
      </c>
      <c r="N70" s="18">
        <v>0</v>
      </c>
      <c r="O70" s="20" t="s">
        <v>42</v>
      </c>
      <c r="P70" s="20" t="s">
        <v>33</v>
      </c>
      <c r="Q70" s="13"/>
      <c r="R70" s="116"/>
      <c r="S70" s="116"/>
      <c r="T70" s="116"/>
      <c r="U70" s="116"/>
      <c r="V70" s="116"/>
    </row>
    <row r="71" spans="1:22" s="11" customFormat="1" ht="24" x14ac:dyDescent="0.2">
      <c r="A71" s="114" t="s">
        <v>136</v>
      </c>
      <c r="B71" s="112" t="s">
        <v>135</v>
      </c>
      <c r="C71" s="69" t="s">
        <v>109</v>
      </c>
      <c r="D71" s="103" t="s">
        <v>100</v>
      </c>
      <c r="E71" s="70">
        <f>E72</f>
        <v>452166.10000000003</v>
      </c>
      <c r="F71" s="72">
        <f>F72</f>
        <v>28783.399999999998</v>
      </c>
      <c r="G71" s="72">
        <f t="shared" ref="G71:N71" si="45">G72</f>
        <v>32776.9</v>
      </c>
      <c r="H71" s="72">
        <f t="shared" si="45"/>
        <v>42701.4</v>
      </c>
      <c r="I71" s="72">
        <f t="shared" si="45"/>
        <v>43589.3</v>
      </c>
      <c r="J71" s="72">
        <f t="shared" si="45"/>
        <v>45246.9</v>
      </c>
      <c r="K71" s="72">
        <f t="shared" si="45"/>
        <v>49126</v>
      </c>
      <c r="L71" s="72">
        <f t="shared" si="45"/>
        <v>71420.100000000006</v>
      </c>
      <c r="M71" s="72">
        <f t="shared" si="45"/>
        <v>67659.899999999994</v>
      </c>
      <c r="N71" s="72">
        <f t="shared" si="45"/>
        <v>70862.2</v>
      </c>
      <c r="O71" s="74"/>
      <c r="P71" s="68"/>
      <c r="Q71" s="13"/>
      <c r="R71" s="67"/>
      <c r="S71" s="67"/>
      <c r="T71" s="67"/>
      <c r="U71" s="67"/>
      <c r="V71" s="67"/>
    </row>
    <row r="72" spans="1:22" s="11" customFormat="1" ht="24" x14ac:dyDescent="0.2">
      <c r="A72" s="115"/>
      <c r="B72" s="113"/>
      <c r="C72" s="69" t="s">
        <v>22</v>
      </c>
      <c r="D72" s="105"/>
      <c r="E72" s="70">
        <f>SUM(F72:N72)</f>
        <v>452166.10000000003</v>
      </c>
      <c r="F72" s="73">
        <f>SUM(F73:F75)</f>
        <v>28783.399999999998</v>
      </c>
      <c r="G72" s="73">
        <f t="shared" ref="G72:N72" si="46">SUM(G73:G75)</f>
        <v>32776.9</v>
      </c>
      <c r="H72" s="73">
        <f t="shared" si="46"/>
        <v>42701.4</v>
      </c>
      <c r="I72" s="73">
        <f t="shared" si="46"/>
        <v>43589.3</v>
      </c>
      <c r="J72" s="73">
        <f t="shared" si="46"/>
        <v>45246.9</v>
      </c>
      <c r="K72" s="73">
        <f t="shared" si="46"/>
        <v>49126</v>
      </c>
      <c r="L72" s="73">
        <f t="shared" si="46"/>
        <v>71420.100000000006</v>
      </c>
      <c r="M72" s="73">
        <f t="shared" ref="M72" si="47">SUM(M73:M75)</f>
        <v>67659.899999999994</v>
      </c>
      <c r="N72" s="73">
        <f t="shared" si="46"/>
        <v>70862.2</v>
      </c>
      <c r="O72" s="74"/>
      <c r="P72" s="68"/>
      <c r="Q72" s="13"/>
      <c r="R72" s="67"/>
      <c r="S72" s="67"/>
      <c r="T72" s="67"/>
      <c r="U72" s="67"/>
      <c r="V72" s="67"/>
    </row>
    <row r="73" spans="1:22" ht="73.5" customHeight="1" x14ac:dyDescent="0.2">
      <c r="A73" s="35" t="s">
        <v>9</v>
      </c>
      <c r="B73" s="24" t="s">
        <v>61</v>
      </c>
      <c r="C73" s="14" t="s">
        <v>18</v>
      </c>
      <c r="D73" s="31" t="s">
        <v>100</v>
      </c>
      <c r="E73" s="36">
        <f>SUM(F73:N73)</f>
        <v>440671.9</v>
      </c>
      <c r="F73" s="17">
        <v>27939.599999999999</v>
      </c>
      <c r="G73" s="18">
        <v>31946.6</v>
      </c>
      <c r="H73" s="18">
        <f>30958.2+6976.3+3793</f>
        <v>41727.5</v>
      </c>
      <c r="I73" s="37">
        <f>32506.1+9766.9+293.9</f>
        <v>42566.9</v>
      </c>
      <c r="J73" s="37">
        <f>43451.3+909.5</f>
        <v>44360.800000000003</v>
      </c>
      <c r="K73" s="37">
        <v>48000</v>
      </c>
      <c r="L73" s="37">
        <f>20000+45000+807.5+3812.3</f>
        <v>69619.8</v>
      </c>
      <c r="M73" s="37">
        <v>66248.7</v>
      </c>
      <c r="N73" s="37">
        <v>68262</v>
      </c>
      <c r="O73" s="29" t="s">
        <v>42</v>
      </c>
      <c r="P73" s="24" t="s">
        <v>50</v>
      </c>
      <c r="Q73" s="13"/>
    </row>
    <row r="74" spans="1:22" ht="48" x14ac:dyDescent="0.2">
      <c r="A74" s="14" t="s">
        <v>10</v>
      </c>
      <c r="B74" s="24" t="s">
        <v>38</v>
      </c>
      <c r="C74" s="14" t="s">
        <v>18</v>
      </c>
      <c r="D74" s="31" t="s">
        <v>100</v>
      </c>
      <c r="E74" s="36">
        <f t="shared" ref="E74:E75" si="48">SUM(F74:N74)</f>
        <v>11441.2</v>
      </c>
      <c r="F74" s="17">
        <v>790.8</v>
      </c>
      <c r="G74" s="18">
        <v>830.3</v>
      </c>
      <c r="H74" s="18">
        <v>973.9</v>
      </c>
      <c r="I74" s="18">
        <v>1022.4</v>
      </c>
      <c r="J74" s="18">
        <f>1063.3-177.2</f>
        <v>886.09999999999991</v>
      </c>
      <c r="K74" s="18">
        <f>1104.8+200-354.8+355.4+20.6-200</f>
        <v>1126</v>
      </c>
      <c r="L74" s="18">
        <f>1160+1500+350-650-139.7-420</f>
        <v>1800.3000000000002</v>
      </c>
      <c r="M74" s="18">
        <v>1411.2</v>
      </c>
      <c r="N74" s="18">
        <v>2600.1999999999998</v>
      </c>
      <c r="O74" s="20" t="s">
        <v>42</v>
      </c>
      <c r="P74" s="24" t="s">
        <v>23</v>
      </c>
      <c r="Q74" s="13"/>
    </row>
    <row r="75" spans="1:22" ht="36" x14ac:dyDescent="0.2">
      <c r="A75" s="14" t="s">
        <v>11</v>
      </c>
      <c r="B75" s="24" t="s">
        <v>66</v>
      </c>
      <c r="C75" s="14" t="s">
        <v>18</v>
      </c>
      <c r="D75" s="31">
        <v>2017</v>
      </c>
      <c r="E75" s="36">
        <f t="shared" si="48"/>
        <v>53</v>
      </c>
      <c r="F75" s="17">
        <v>53</v>
      </c>
      <c r="G75" s="18">
        <v>0</v>
      </c>
      <c r="H75" s="18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29" t="s">
        <v>42</v>
      </c>
      <c r="P75" s="24" t="s">
        <v>67</v>
      </c>
      <c r="Q75" s="13"/>
    </row>
    <row r="76" spans="1:22" ht="24" x14ac:dyDescent="0.2">
      <c r="A76" s="103" t="s">
        <v>112</v>
      </c>
      <c r="B76" s="112" t="s">
        <v>128</v>
      </c>
      <c r="C76" s="69" t="s">
        <v>109</v>
      </c>
      <c r="D76" s="103" t="s">
        <v>100</v>
      </c>
      <c r="E76" s="75">
        <f>SUM(F76:N76)</f>
        <v>120084.7</v>
      </c>
      <c r="F76" s="72">
        <f>SUM(F77)</f>
        <v>8916.7000000000007</v>
      </c>
      <c r="G76" s="72">
        <f t="shared" ref="G76:N76" si="49">SUM(G77)</f>
        <v>9183.5999999999985</v>
      </c>
      <c r="H76" s="72">
        <f t="shared" si="49"/>
        <v>15783.9</v>
      </c>
      <c r="I76" s="72">
        <f t="shared" si="49"/>
        <v>12217.199999999999</v>
      </c>
      <c r="J76" s="72">
        <f t="shared" si="49"/>
        <v>13849.5</v>
      </c>
      <c r="K76" s="72">
        <f t="shared" si="49"/>
        <v>13770.5</v>
      </c>
      <c r="L76" s="72">
        <f t="shared" si="49"/>
        <v>14838.199999999999</v>
      </c>
      <c r="M76" s="72">
        <f t="shared" si="49"/>
        <v>15390.6</v>
      </c>
      <c r="N76" s="72">
        <f t="shared" si="49"/>
        <v>16134.5</v>
      </c>
      <c r="O76" s="103"/>
      <c r="P76" s="112"/>
      <c r="Q76" s="13"/>
    </row>
    <row r="77" spans="1:22" ht="24" x14ac:dyDescent="0.2">
      <c r="A77" s="105"/>
      <c r="B77" s="113"/>
      <c r="C77" s="69" t="s">
        <v>18</v>
      </c>
      <c r="D77" s="105"/>
      <c r="E77" s="75">
        <f>SUM(F77:N77)</f>
        <v>120084.7</v>
      </c>
      <c r="F77" s="76">
        <f>SUM(F78:F82)</f>
        <v>8916.7000000000007</v>
      </c>
      <c r="G77" s="76">
        <f t="shared" ref="G77:N77" si="50">SUM(G78:G82)</f>
        <v>9183.5999999999985</v>
      </c>
      <c r="H77" s="76">
        <f t="shared" si="50"/>
        <v>15783.9</v>
      </c>
      <c r="I77" s="76">
        <f t="shared" si="50"/>
        <v>12217.199999999999</v>
      </c>
      <c r="J77" s="76">
        <f t="shared" si="50"/>
        <v>13849.5</v>
      </c>
      <c r="K77" s="76">
        <f t="shared" si="50"/>
        <v>13770.5</v>
      </c>
      <c r="L77" s="76">
        <f t="shared" si="50"/>
        <v>14838.199999999999</v>
      </c>
      <c r="M77" s="76">
        <f t="shared" ref="M77" si="51">SUM(M78:M82)</f>
        <v>15390.6</v>
      </c>
      <c r="N77" s="76">
        <f t="shared" si="50"/>
        <v>16134.5</v>
      </c>
      <c r="O77" s="105"/>
      <c r="P77" s="113"/>
      <c r="Q77" s="13"/>
    </row>
    <row r="78" spans="1:22" s="11" customFormat="1" ht="36" x14ac:dyDescent="0.2">
      <c r="A78" s="23" t="s">
        <v>142</v>
      </c>
      <c r="B78" s="24" t="s">
        <v>36</v>
      </c>
      <c r="C78" s="14" t="s">
        <v>18</v>
      </c>
      <c r="D78" s="31" t="s">
        <v>100</v>
      </c>
      <c r="E78" s="36">
        <f>SUM(F78:N78)</f>
        <v>97884.599999999991</v>
      </c>
      <c r="F78" s="17">
        <v>7511.7</v>
      </c>
      <c r="G78" s="18">
        <f>6302.7+1600+96.4</f>
        <v>7999.0999999999995</v>
      </c>
      <c r="H78" s="18">
        <v>9832.2999999999993</v>
      </c>
      <c r="I78" s="37">
        <f>7313.5+3566.9</f>
        <v>10880.4</v>
      </c>
      <c r="J78" s="37">
        <f>11498-120.1</f>
        <v>11377.9</v>
      </c>
      <c r="K78" s="37">
        <f>11729.3-20.4+69.1</f>
        <v>11778</v>
      </c>
      <c r="L78" s="37">
        <f>12198.5+1700-133.2-1010-257.2</f>
        <v>12498.099999999999</v>
      </c>
      <c r="M78" s="37">
        <v>12686.4</v>
      </c>
      <c r="N78" s="37">
        <v>13320.7</v>
      </c>
      <c r="O78" s="29" t="s">
        <v>42</v>
      </c>
      <c r="P78" s="24" t="s">
        <v>24</v>
      </c>
      <c r="Q78" s="13"/>
    </row>
    <row r="79" spans="1:22" ht="96" x14ac:dyDescent="0.2">
      <c r="A79" s="14" t="s">
        <v>12</v>
      </c>
      <c r="B79" s="24" t="s">
        <v>37</v>
      </c>
      <c r="C79" s="14" t="s">
        <v>18</v>
      </c>
      <c r="D79" s="31">
        <v>2017</v>
      </c>
      <c r="E79" s="36">
        <f t="shared" ref="E79:E82" si="52">SUM(F79:N79)</f>
        <v>315</v>
      </c>
      <c r="F79" s="17">
        <v>315</v>
      </c>
      <c r="G79" s="18">
        <v>0</v>
      </c>
      <c r="H79" s="18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29" t="s">
        <v>42</v>
      </c>
      <c r="P79" s="24" t="s">
        <v>25</v>
      </c>
      <c r="Q79" s="13"/>
    </row>
    <row r="80" spans="1:22" ht="48" x14ac:dyDescent="0.2">
      <c r="A80" s="14" t="s">
        <v>13</v>
      </c>
      <c r="B80" s="24" t="s">
        <v>39</v>
      </c>
      <c r="C80" s="14" t="s">
        <v>18</v>
      </c>
      <c r="D80" s="31" t="s">
        <v>100</v>
      </c>
      <c r="E80" s="36">
        <f t="shared" si="52"/>
        <v>15171.6</v>
      </c>
      <c r="F80" s="17">
        <v>1090</v>
      </c>
      <c r="G80" s="18">
        <v>1144.5</v>
      </c>
      <c r="H80" s="18">
        <v>1045.5</v>
      </c>
      <c r="I80" s="18">
        <v>1261.8</v>
      </c>
      <c r="J80" s="18">
        <f>1324.9-7.1-6.7</f>
        <v>1311.1000000000001</v>
      </c>
      <c r="K80" s="18">
        <f>1391.1+476.4</f>
        <v>1867.5</v>
      </c>
      <c r="L80" s="18">
        <f>1446.8+763.4</f>
        <v>2210.1999999999998</v>
      </c>
      <c r="M80" s="18">
        <v>2569.1</v>
      </c>
      <c r="N80" s="18">
        <v>2671.9</v>
      </c>
      <c r="O80" s="20" t="s">
        <v>42</v>
      </c>
      <c r="P80" s="24" t="s">
        <v>52</v>
      </c>
      <c r="Q80" s="13"/>
    </row>
    <row r="81" spans="1:17" ht="48" x14ac:dyDescent="0.2">
      <c r="A81" s="34" t="s">
        <v>114</v>
      </c>
      <c r="B81" s="33" t="s">
        <v>73</v>
      </c>
      <c r="C81" s="14" t="s">
        <v>18</v>
      </c>
      <c r="D81" s="31" t="s">
        <v>111</v>
      </c>
      <c r="E81" s="36">
        <f t="shared" si="52"/>
        <v>770.9</v>
      </c>
      <c r="F81" s="32">
        <v>0</v>
      </c>
      <c r="G81" s="21">
        <v>40</v>
      </c>
      <c r="H81" s="21">
        <v>50</v>
      </c>
      <c r="I81" s="21">
        <v>75</v>
      </c>
      <c r="J81" s="21">
        <f>78-4</f>
        <v>74</v>
      </c>
      <c r="K81" s="21">
        <v>125</v>
      </c>
      <c r="L81" s="21">
        <v>129.9</v>
      </c>
      <c r="M81" s="21">
        <v>135.1</v>
      </c>
      <c r="N81" s="21">
        <v>141.9</v>
      </c>
      <c r="O81" s="20" t="s">
        <v>42</v>
      </c>
      <c r="P81" s="38" t="s">
        <v>74</v>
      </c>
      <c r="Q81" s="13"/>
    </row>
    <row r="82" spans="1:17" ht="96" x14ac:dyDescent="0.2">
      <c r="A82" s="66" t="s">
        <v>137</v>
      </c>
      <c r="B82" s="24" t="s">
        <v>84</v>
      </c>
      <c r="C82" s="14" t="s">
        <v>18</v>
      </c>
      <c r="D82" s="14" t="s">
        <v>163</v>
      </c>
      <c r="E82" s="36">
        <f t="shared" si="52"/>
        <v>5942.6</v>
      </c>
      <c r="F82" s="18">
        <v>0</v>
      </c>
      <c r="G82" s="18">
        <v>0</v>
      </c>
      <c r="H82" s="18">
        <v>4856.1000000000004</v>
      </c>
      <c r="I82" s="18">
        <v>0</v>
      </c>
      <c r="J82" s="18">
        <v>1086.5</v>
      </c>
      <c r="K82" s="18">
        <v>0</v>
      </c>
      <c r="L82" s="18">
        <v>0</v>
      </c>
      <c r="M82" s="18">
        <v>0</v>
      </c>
      <c r="N82" s="18">
        <v>0</v>
      </c>
      <c r="O82" s="20" t="s">
        <v>42</v>
      </c>
      <c r="P82" s="24" t="s">
        <v>25</v>
      </c>
      <c r="Q82" s="13"/>
    </row>
    <row r="83" spans="1:17" ht="24" x14ac:dyDescent="0.2">
      <c r="A83" s="106" t="s">
        <v>115</v>
      </c>
      <c r="B83" s="108" t="s">
        <v>113</v>
      </c>
      <c r="C83" s="69" t="s">
        <v>109</v>
      </c>
      <c r="D83" s="103" t="s">
        <v>100</v>
      </c>
      <c r="E83" s="75">
        <f>SUM(F83:N83)</f>
        <v>175574.00000000003</v>
      </c>
      <c r="F83" s="72">
        <f>SUM(F84)</f>
        <v>11212.4</v>
      </c>
      <c r="G83" s="72">
        <f t="shared" ref="G83" si="53">SUM(G84)</f>
        <v>12136.1</v>
      </c>
      <c r="H83" s="72">
        <f t="shared" ref="H83" si="54">SUM(H84)</f>
        <v>13467.999999999998</v>
      </c>
      <c r="I83" s="72">
        <f t="shared" ref="I83" si="55">SUM(I84)</f>
        <v>22106.7</v>
      </c>
      <c r="J83" s="72">
        <f t="shared" ref="J83" si="56">SUM(J84)</f>
        <v>16338.6</v>
      </c>
      <c r="K83" s="72">
        <f t="shared" ref="K83" si="57">SUM(K84)</f>
        <v>19962.8</v>
      </c>
      <c r="L83" s="72">
        <f t="shared" ref="L83" si="58">SUM(L84)</f>
        <v>27050.800000000003</v>
      </c>
      <c r="M83" s="72">
        <f t="shared" ref="M83:N83" si="59">SUM(M84)</f>
        <v>25602.5</v>
      </c>
      <c r="N83" s="72">
        <f t="shared" si="59"/>
        <v>27696.1</v>
      </c>
      <c r="O83" s="106"/>
      <c r="P83" s="108"/>
      <c r="Q83" s="13"/>
    </row>
    <row r="84" spans="1:17" ht="24" x14ac:dyDescent="0.2">
      <c r="A84" s="107"/>
      <c r="B84" s="109"/>
      <c r="C84" s="69" t="s">
        <v>18</v>
      </c>
      <c r="D84" s="105"/>
      <c r="E84" s="75">
        <f>SUM(F84:N84)</f>
        <v>175574.00000000003</v>
      </c>
      <c r="F84" s="76">
        <f t="shared" ref="F84:N84" si="60">SUM(F85:F88)</f>
        <v>11212.4</v>
      </c>
      <c r="G84" s="76">
        <f t="shared" si="60"/>
        <v>12136.1</v>
      </c>
      <c r="H84" s="76">
        <f t="shared" si="60"/>
        <v>13467.999999999998</v>
      </c>
      <c r="I84" s="76">
        <f t="shared" si="60"/>
        <v>22106.7</v>
      </c>
      <c r="J84" s="76">
        <f t="shared" si="60"/>
        <v>16338.6</v>
      </c>
      <c r="K84" s="76">
        <f t="shared" si="60"/>
        <v>19962.8</v>
      </c>
      <c r="L84" s="76">
        <f t="shared" si="60"/>
        <v>27050.800000000003</v>
      </c>
      <c r="M84" s="76">
        <f t="shared" ref="M84" si="61">SUM(M85:M88)</f>
        <v>25602.5</v>
      </c>
      <c r="N84" s="76">
        <f t="shared" si="60"/>
        <v>27696.1</v>
      </c>
      <c r="O84" s="107"/>
      <c r="P84" s="109"/>
      <c r="Q84" s="13"/>
    </row>
    <row r="85" spans="1:17" ht="60" x14ac:dyDescent="0.2">
      <c r="A85" s="14" t="s">
        <v>35</v>
      </c>
      <c r="B85" s="24" t="s">
        <v>51</v>
      </c>
      <c r="C85" s="39" t="s">
        <v>18</v>
      </c>
      <c r="D85" s="31" t="s">
        <v>100</v>
      </c>
      <c r="E85" s="36">
        <f>SUM(F85:N85)</f>
        <v>173191.30000000002</v>
      </c>
      <c r="F85" s="17">
        <v>10695.4</v>
      </c>
      <c r="G85" s="18">
        <f>11593.2+5+495</f>
        <v>12093.2</v>
      </c>
      <c r="H85" s="18">
        <f>11262.3+2151.9</f>
        <v>13414.199999999999</v>
      </c>
      <c r="I85" s="37">
        <f>11825.4+4431.6+5750+59.9</f>
        <v>22066.9</v>
      </c>
      <c r="J85" s="37">
        <v>16302.2</v>
      </c>
      <c r="K85" s="37">
        <f>17566.4+2099+349.8-413.9</f>
        <v>19601.3</v>
      </c>
      <c r="L85" s="37">
        <f>5131.6+14668.4+2800+2400+2600-442.8-564.3</f>
        <v>26592.9</v>
      </c>
      <c r="M85" s="37">
        <v>25167.1</v>
      </c>
      <c r="N85" s="37">
        <v>27258.1</v>
      </c>
      <c r="O85" s="29" t="s">
        <v>80</v>
      </c>
      <c r="P85" s="24" t="s">
        <v>26</v>
      </c>
      <c r="Q85" s="13"/>
    </row>
    <row r="86" spans="1:17" ht="48" x14ac:dyDescent="0.2">
      <c r="A86" s="14" t="s">
        <v>43</v>
      </c>
      <c r="B86" s="24" t="s">
        <v>53</v>
      </c>
      <c r="C86" s="14" t="s">
        <v>18</v>
      </c>
      <c r="D86" s="31">
        <v>2017</v>
      </c>
      <c r="E86" s="36">
        <f t="shared" ref="E86:E88" si="62">SUM(F86:N86)</f>
        <v>500</v>
      </c>
      <c r="F86" s="17">
        <v>500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37">
        <v>0</v>
      </c>
      <c r="M86" s="37">
        <v>0</v>
      </c>
      <c r="N86" s="37">
        <v>0</v>
      </c>
      <c r="O86" s="29" t="s">
        <v>42</v>
      </c>
      <c r="P86" s="20" t="s">
        <v>31</v>
      </c>
      <c r="Q86" s="13"/>
    </row>
    <row r="87" spans="1:17" ht="48" x14ac:dyDescent="0.2">
      <c r="A87" s="14" t="s">
        <v>117</v>
      </c>
      <c r="B87" s="24" t="s">
        <v>27</v>
      </c>
      <c r="C87" s="14" t="s">
        <v>18</v>
      </c>
      <c r="D87" s="31" t="s">
        <v>124</v>
      </c>
      <c r="E87" s="36">
        <f t="shared" si="62"/>
        <v>1532</v>
      </c>
      <c r="F87" s="17">
        <v>5</v>
      </c>
      <c r="G87" s="18">
        <f>17.9-5</f>
        <v>12.899999999999999</v>
      </c>
      <c r="H87" s="18">
        <v>18.8</v>
      </c>
      <c r="I87" s="37">
        <f>19.8-15</f>
        <v>4.8000000000000007</v>
      </c>
      <c r="J87" s="37">
        <v>0</v>
      </c>
      <c r="K87" s="37">
        <v>314</v>
      </c>
      <c r="L87" s="37">
        <f>384+24.5</f>
        <v>408.5</v>
      </c>
      <c r="M87" s="37">
        <v>384</v>
      </c>
      <c r="N87" s="37">
        <v>384</v>
      </c>
      <c r="O87" s="29" t="s">
        <v>167</v>
      </c>
      <c r="P87" s="24" t="s">
        <v>28</v>
      </c>
      <c r="Q87" s="13"/>
    </row>
    <row r="88" spans="1:17" s="12" customFormat="1" ht="90" customHeight="1" x14ac:dyDescent="0.2">
      <c r="A88" s="23" t="s">
        <v>118</v>
      </c>
      <c r="B88" s="24" t="s">
        <v>70</v>
      </c>
      <c r="C88" s="14" t="s">
        <v>18</v>
      </c>
      <c r="D88" s="31" t="s">
        <v>164</v>
      </c>
      <c r="E88" s="36">
        <f t="shared" si="62"/>
        <v>350.7</v>
      </c>
      <c r="F88" s="17">
        <v>12</v>
      </c>
      <c r="G88" s="18">
        <v>30</v>
      </c>
      <c r="H88" s="18">
        <v>35</v>
      </c>
      <c r="I88" s="37">
        <v>35</v>
      </c>
      <c r="J88" s="37">
        <v>36.4</v>
      </c>
      <c r="K88" s="37">
        <v>47.5</v>
      </c>
      <c r="L88" s="37">
        <v>49.4</v>
      </c>
      <c r="M88" s="37">
        <v>51.4</v>
      </c>
      <c r="N88" s="37">
        <v>54</v>
      </c>
      <c r="O88" s="29" t="s">
        <v>42</v>
      </c>
      <c r="P88" s="24" t="s">
        <v>69</v>
      </c>
      <c r="Q88" s="40"/>
    </row>
    <row r="89" spans="1:17" s="12" customFormat="1" ht="37.5" customHeight="1" x14ac:dyDescent="0.2">
      <c r="A89" s="103" t="s">
        <v>138</v>
      </c>
      <c r="B89" s="112" t="s">
        <v>116</v>
      </c>
      <c r="C89" s="69" t="s">
        <v>109</v>
      </c>
      <c r="D89" s="103" t="s">
        <v>100</v>
      </c>
      <c r="E89" s="75">
        <f>SUM(F89:N89)</f>
        <v>25781.799999999996</v>
      </c>
      <c r="F89" s="72">
        <f>SUM(F90)</f>
        <v>3306.6</v>
      </c>
      <c r="G89" s="72">
        <f t="shared" ref="G89" si="63">SUM(G90)</f>
        <v>2632.4</v>
      </c>
      <c r="H89" s="72">
        <f t="shared" ref="H89" si="64">SUM(H90)</f>
        <v>1894.9</v>
      </c>
      <c r="I89" s="72">
        <f t="shared" ref="I89" si="65">SUM(I90)</f>
        <v>2599.6999999999998</v>
      </c>
      <c r="J89" s="72">
        <f t="shared" ref="J89" si="66">SUM(J90)</f>
        <v>2907.9</v>
      </c>
      <c r="K89" s="72">
        <f t="shared" ref="K89" si="67">SUM(K90)</f>
        <v>2917.4</v>
      </c>
      <c r="L89" s="72">
        <f t="shared" ref="L89" si="68">SUM(L90)</f>
        <v>2992</v>
      </c>
      <c r="M89" s="72">
        <f t="shared" ref="M89:N89" si="69">SUM(M90)</f>
        <v>3185.8</v>
      </c>
      <c r="N89" s="72">
        <f t="shared" si="69"/>
        <v>3345.1</v>
      </c>
      <c r="O89" s="103"/>
      <c r="P89" s="112"/>
      <c r="Q89" s="40"/>
    </row>
    <row r="90" spans="1:17" s="12" customFormat="1" ht="41.25" customHeight="1" x14ac:dyDescent="0.2">
      <c r="A90" s="105"/>
      <c r="B90" s="113"/>
      <c r="C90" s="69" t="s">
        <v>18</v>
      </c>
      <c r="D90" s="105"/>
      <c r="E90" s="75">
        <f>SUM(F90:N90)</f>
        <v>25781.799999999996</v>
      </c>
      <c r="F90" s="76">
        <f>SUM(F91:F94)</f>
        <v>3306.6</v>
      </c>
      <c r="G90" s="76">
        <f t="shared" ref="G90:N90" si="70">SUM(G91:G94)</f>
        <v>2632.4</v>
      </c>
      <c r="H90" s="76">
        <f t="shared" si="70"/>
        <v>1894.9</v>
      </c>
      <c r="I90" s="76">
        <f t="shared" si="70"/>
        <v>2599.6999999999998</v>
      </c>
      <c r="J90" s="76">
        <f t="shared" si="70"/>
        <v>2907.9</v>
      </c>
      <c r="K90" s="76">
        <f t="shared" si="70"/>
        <v>2917.4</v>
      </c>
      <c r="L90" s="76">
        <f t="shared" si="70"/>
        <v>2992</v>
      </c>
      <c r="M90" s="76">
        <f t="shared" ref="M90" si="71">SUM(M91:M94)</f>
        <v>3185.8</v>
      </c>
      <c r="N90" s="76">
        <f t="shared" si="70"/>
        <v>3345.1</v>
      </c>
      <c r="O90" s="105"/>
      <c r="P90" s="113"/>
      <c r="Q90" s="40"/>
    </row>
    <row r="91" spans="1:17" ht="48" x14ac:dyDescent="0.2">
      <c r="A91" s="14" t="s">
        <v>76</v>
      </c>
      <c r="B91" s="24" t="s">
        <v>29</v>
      </c>
      <c r="C91" s="14" t="s">
        <v>18</v>
      </c>
      <c r="D91" s="31" t="s">
        <v>125</v>
      </c>
      <c r="E91" s="36">
        <f>SUM(F91:N91)</f>
        <v>615.1</v>
      </c>
      <c r="F91" s="17">
        <v>335.6</v>
      </c>
      <c r="G91" s="18">
        <f>262.5+50-33</f>
        <v>279.5</v>
      </c>
      <c r="H91" s="18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29" t="s">
        <v>42</v>
      </c>
      <c r="P91" s="24" t="s">
        <v>62</v>
      </c>
      <c r="Q91" s="13"/>
    </row>
    <row r="92" spans="1:17" ht="48" x14ac:dyDescent="0.2">
      <c r="A92" s="14" t="s">
        <v>79</v>
      </c>
      <c r="B92" s="24" t="s">
        <v>30</v>
      </c>
      <c r="C92" s="14" t="s">
        <v>18</v>
      </c>
      <c r="D92" s="31" t="s">
        <v>125</v>
      </c>
      <c r="E92" s="36">
        <f t="shared" ref="E92:E94" si="72">SUM(F92:N92)</f>
        <v>2495.5</v>
      </c>
      <c r="F92" s="17">
        <f>2131-3</f>
        <v>2128</v>
      </c>
      <c r="G92" s="18">
        <v>367.5</v>
      </c>
      <c r="H92" s="18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20" t="s">
        <v>42</v>
      </c>
      <c r="P92" s="24" t="s">
        <v>62</v>
      </c>
      <c r="Q92" s="13"/>
    </row>
    <row r="93" spans="1:17" s="12" customFormat="1" ht="51.75" customHeight="1" x14ac:dyDescent="0.2">
      <c r="A93" s="14" t="s">
        <v>139</v>
      </c>
      <c r="B93" s="41" t="s">
        <v>34</v>
      </c>
      <c r="C93" s="14" t="s">
        <v>18</v>
      </c>
      <c r="D93" s="31" t="s">
        <v>125</v>
      </c>
      <c r="E93" s="36">
        <f t="shared" si="72"/>
        <v>2828.4</v>
      </c>
      <c r="F93" s="32">
        <f>840+3</f>
        <v>843</v>
      </c>
      <c r="G93" s="21">
        <f>500+1285.4+200</f>
        <v>1985.4</v>
      </c>
      <c r="H93" s="21">
        <v>0</v>
      </c>
      <c r="I93" s="19">
        <v>0</v>
      </c>
      <c r="J93" s="19">
        <v>0</v>
      </c>
      <c r="K93" s="37">
        <v>0</v>
      </c>
      <c r="L93" s="37">
        <v>0</v>
      </c>
      <c r="M93" s="37">
        <v>0</v>
      </c>
      <c r="N93" s="37">
        <v>0</v>
      </c>
      <c r="O93" s="29" t="s">
        <v>42</v>
      </c>
      <c r="P93" s="24" t="s">
        <v>62</v>
      </c>
      <c r="Q93" s="40"/>
    </row>
    <row r="94" spans="1:17" s="12" customFormat="1" ht="52.5" customHeight="1" x14ac:dyDescent="0.2">
      <c r="A94" s="42" t="s">
        <v>140</v>
      </c>
      <c r="B94" s="43" t="s">
        <v>85</v>
      </c>
      <c r="C94" s="14" t="s">
        <v>18</v>
      </c>
      <c r="D94" s="15" t="s">
        <v>126</v>
      </c>
      <c r="E94" s="36">
        <f t="shared" si="72"/>
        <v>19842.8</v>
      </c>
      <c r="F94" s="32">
        <v>0</v>
      </c>
      <c r="G94" s="21">
        <v>0</v>
      </c>
      <c r="H94" s="21">
        <v>1894.9</v>
      </c>
      <c r="I94" s="19">
        <f>1077.1+1622.8-409+402-93.2</f>
        <v>2599.6999999999998</v>
      </c>
      <c r="J94" s="19">
        <f>1120.2+1687.7+100</f>
        <v>2907.9</v>
      </c>
      <c r="K94" s="37">
        <f>1163.9+1753.5</f>
        <v>2917.4</v>
      </c>
      <c r="L94" s="37">
        <f>1500+1534.1-42.1</f>
        <v>2992</v>
      </c>
      <c r="M94" s="37">
        <f>1575+1610.8</f>
        <v>3185.8</v>
      </c>
      <c r="N94" s="37">
        <v>3345.1</v>
      </c>
      <c r="O94" s="29" t="s">
        <v>42</v>
      </c>
      <c r="P94" s="24" t="s">
        <v>62</v>
      </c>
      <c r="Q94" s="40"/>
    </row>
    <row r="95" spans="1:17" s="12" customFormat="1" ht="24" x14ac:dyDescent="0.2">
      <c r="A95" s="143" t="s">
        <v>122</v>
      </c>
      <c r="B95" s="102" t="s">
        <v>119</v>
      </c>
      <c r="C95" s="69" t="s">
        <v>109</v>
      </c>
      <c r="D95" s="103" t="s">
        <v>100</v>
      </c>
      <c r="E95" s="75">
        <f t="shared" ref="E95:E103" si="73">SUM(F95:N95)</f>
        <v>169501.30000000002</v>
      </c>
      <c r="F95" s="72">
        <f>SUM(F96)</f>
        <v>18529.900000000001</v>
      </c>
      <c r="G95" s="72">
        <f t="shared" ref="G95" si="74">SUM(G96)</f>
        <v>19728.400000000001</v>
      </c>
      <c r="H95" s="72">
        <f t="shared" ref="H95" si="75">SUM(H96)</f>
        <v>19072.3</v>
      </c>
      <c r="I95" s="72">
        <f t="shared" ref="I95" si="76">SUM(I96)</f>
        <v>21400</v>
      </c>
      <c r="J95" s="72">
        <f t="shared" ref="J95" si="77">SUM(J96)</f>
        <v>15250</v>
      </c>
      <c r="K95" s="72">
        <f t="shared" ref="K95" si="78">SUM(K96)</f>
        <v>16043.3</v>
      </c>
      <c r="L95" s="72">
        <f t="shared" ref="L95" si="79">SUM(L96)</f>
        <v>19870</v>
      </c>
      <c r="M95" s="72">
        <f t="shared" ref="M95:N95" si="80">SUM(M96)</f>
        <v>18979.2</v>
      </c>
      <c r="N95" s="72">
        <f t="shared" si="80"/>
        <v>20628.2</v>
      </c>
      <c r="O95" s="103"/>
      <c r="P95" s="112"/>
      <c r="Q95" s="40"/>
    </row>
    <row r="96" spans="1:17" s="12" customFormat="1" ht="24" x14ac:dyDescent="0.2">
      <c r="A96" s="144"/>
      <c r="B96" s="102"/>
      <c r="C96" s="69" t="s">
        <v>18</v>
      </c>
      <c r="D96" s="105"/>
      <c r="E96" s="75">
        <f t="shared" si="73"/>
        <v>169501.30000000002</v>
      </c>
      <c r="F96" s="76">
        <f>SUM(F97:F98)</f>
        <v>18529.900000000001</v>
      </c>
      <c r="G96" s="76">
        <f t="shared" ref="G96:N96" si="81">SUM(G97:G98)</f>
        <v>19728.400000000001</v>
      </c>
      <c r="H96" s="76">
        <f t="shared" si="81"/>
        <v>19072.3</v>
      </c>
      <c r="I96" s="76">
        <f t="shared" si="81"/>
        <v>21400</v>
      </c>
      <c r="J96" s="76">
        <f t="shared" si="81"/>
        <v>15250</v>
      </c>
      <c r="K96" s="76">
        <f t="shared" si="81"/>
        <v>16043.3</v>
      </c>
      <c r="L96" s="76">
        <f t="shared" si="81"/>
        <v>19870</v>
      </c>
      <c r="M96" s="76">
        <f t="shared" ref="M96" si="82">SUM(M97:M98)</f>
        <v>18979.2</v>
      </c>
      <c r="N96" s="76">
        <f t="shared" si="81"/>
        <v>20628.2</v>
      </c>
      <c r="O96" s="105"/>
      <c r="P96" s="113"/>
      <c r="Q96" s="40"/>
    </row>
    <row r="97" spans="1:17" ht="96" x14ac:dyDescent="0.2">
      <c r="A97" s="14" t="s">
        <v>123</v>
      </c>
      <c r="B97" s="20" t="s">
        <v>63</v>
      </c>
      <c r="C97" s="14" t="s">
        <v>22</v>
      </c>
      <c r="D97" s="31" t="s">
        <v>127</v>
      </c>
      <c r="E97" s="16">
        <f t="shared" si="73"/>
        <v>56259.1</v>
      </c>
      <c r="F97" s="26">
        <v>5970</v>
      </c>
      <c r="G97" s="27">
        <v>6368.5</v>
      </c>
      <c r="H97" s="27">
        <v>7072.3</v>
      </c>
      <c r="I97" s="28">
        <f>6911+589+600</f>
        <v>8100</v>
      </c>
      <c r="J97" s="28">
        <f>7800-3550</f>
        <v>4250</v>
      </c>
      <c r="K97" s="28">
        <f>7100-314-842.7-1900</f>
        <v>4043.3</v>
      </c>
      <c r="L97" s="28">
        <f>7455</f>
        <v>7455</v>
      </c>
      <c r="M97" s="28">
        <v>6000</v>
      </c>
      <c r="N97" s="28">
        <v>7000</v>
      </c>
      <c r="O97" s="29" t="s">
        <v>42</v>
      </c>
      <c r="P97" s="20" t="s">
        <v>120</v>
      </c>
      <c r="Q97" s="13"/>
    </row>
    <row r="98" spans="1:17" ht="96" x14ac:dyDescent="0.2">
      <c r="A98" s="14" t="s">
        <v>141</v>
      </c>
      <c r="B98" s="20" t="s">
        <v>44</v>
      </c>
      <c r="C98" s="14" t="s">
        <v>22</v>
      </c>
      <c r="D98" s="31" t="s">
        <v>127</v>
      </c>
      <c r="E98" s="16">
        <f t="shared" si="73"/>
        <v>113242.2</v>
      </c>
      <c r="F98" s="26">
        <v>12559.9</v>
      </c>
      <c r="G98" s="27">
        <f>13359.9</f>
        <v>13359.9</v>
      </c>
      <c r="H98" s="27">
        <v>12000</v>
      </c>
      <c r="I98" s="27">
        <f>11000+2300</f>
        <v>13300</v>
      </c>
      <c r="J98" s="27">
        <v>11000</v>
      </c>
      <c r="K98" s="27">
        <v>12000</v>
      </c>
      <c r="L98" s="27">
        <f>12480-65</f>
        <v>12415</v>
      </c>
      <c r="M98" s="27">
        <v>12979.2</v>
      </c>
      <c r="N98" s="27">
        <v>13628.2</v>
      </c>
      <c r="O98" s="20" t="s">
        <v>42</v>
      </c>
      <c r="P98" s="20" t="s">
        <v>120</v>
      </c>
      <c r="Q98" s="13"/>
    </row>
    <row r="99" spans="1:17" ht="30" customHeight="1" x14ac:dyDescent="0.2">
      <c r="A99" s="103" t="s">
        <v>168</v>
      </c>
      <c r="B99" s="112" t="s">
        <v>170</v>
      </c>
      <c r="C99" s="69" t="s">
        <v>109</v>
      </c>
      <c r="D99" s="103" t="s">
        <v>171</v>
      </c>
      <c r="E99" s="70">
        <f t="shared" si="73"/>
        <v>175324.7</v>
      </c>
      <c r="F99" s="92">
        <f>F100</f>
        <v>0</v>
      </c>
      <c r="G99" s="92">
        <f t="shared" ref="G99:N99" si="83">G100</f>
        <v>0</v>
      </c>
      <c r="H99" s="92">
        <f t="shared" si="83"/>
        <v>0</v>
      </c>
      <c r="I99" s="92">
        <f t="shared" si="83"/>
        <v>0</v>
      </c>
      <c r="J99" s="92">
        <f t="shared" si="83"/>
        <v>0</v>
      </c>
      <c r="K99" s="92">
        <f t="shared" si="83"/>
        <v>0</v>
      </c>
      <c r="L99" s="92">
        <f t="shared" si="83"/>
        <v>57451</v>
      </c>
      <c r="M99" s="92">
        <f t="shared" si="83"/>
        <v>58651.4</v>
      </c>
      <c r="N99" s="92">
        <f t="shared" si="83"/>
        <v>59222.3</v>
      </c>
      <c r="O99" s="88"/>
      <c r="P99" s="88"/>
      <c r="Q99" s="13"/>
    </row>
    <row r="100" spans="1:17" ht="30" customHeight="1" x14ac:dyDescent="0.2">
      <c r="A100" s="105"/>
      <c r="B100" s="113"/>
      <c r="C100" s="69" t="s">
        <v>18</v>
      </c>
      <c r="D100" s="105"/>
      <c r="E100" s="70">
        <f t="shared" si="73"/>
        <v>175324.7</v>
      </c>
      <c r="F100" s="91">
        <f>F101</f>
        <v>0</v>
      </c>
      <c r="G100" s="91">
        <f t="shared" ref="G100:N100" si="84">G101</f>
        <v>0</v>
      </c>
      <c r="H100" s="91">
        <f t="shared" si="84"/>
        <v>0</v>
      </c>
      <c r="I100" s="91">
        <f t="shared" si="84"/>
        <v>0</v>
      </c>
      <c r="J100" s="91">
        <f t="shared" si="84"/>
        <v>0</v>
      </c>
      <c r="K100" s="91">
        <f t="shared" si="84"/>
        <v>0</v>
      </c>
      <c r="L100" s="91">
        <f t="shared" si="84"/>
        <v>57451</v>
      </c>
      <c r="M100" s="91">
        <f t="shared" si="84"/>
        <v>58651.4</v>
      </c>
      <c r="N100" s="91">
        <f t="shared" si="84"/>
        <v>59222.3</v>
      </c>
      <c r="O100" s="88"/>
      <c r="P100" s="88"/>
      <c r="Q100" s="13"/>
    </row>
    <row r="101" spans="1:17" ht="96" x14ac:dyDescent="0.2">
      <c r="A101" s="39" t="s">
        <v>169</v>
      </c>
      <c r="B101" s="89" t="s">
        <v>173</v>
      </c>
      <c r="C101" s="14" t="s">
        <v>22</v>
      </c>
      <c r="D101" s="90" t="s">
        <v>171</v>
      </c>
      <c r="E101" s="16">
        <f>SUM(F101:N101)</f>
        <v>175324.7</v>
      </c>
      <c r="F101" s="26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f>58023.2-572.2</f>
        <v>57451</v>
      </c>
      <c r="M101" s="27">
        <v>58651.4</v>
      </c>
      <c r="N101" s="27">
        <v>59222.3</v>
      </c>
      <c r="O101" s="20" t="s">
        <v>42</v>
      </c>
      <c r="P101" s="54" t="s">
        <v>172</v>
      </c>
      <c r="Q101" s="13"/>
    </row>
    <row r="102" spans="1:17" ht="24" x14ac:dyDescent="0.2">
      <c r="A102" s="81"/>
      <c r="B102" s="82" t="s">
        <v>145</v>
      </c>
      <c r="C102" s="81"/>
      <c r="D102" s="83"/>
      <c r="E102" s="44">
        <f t="shared" si="73"/>
        <v>1634087.8</v>
      </c>
      <c r="F102" s="44">
        <f>SUM(F103:F105)</f>
        <v>127932.09999999998</v>
      </c>
      <c r="G102" s="44">
        <f t="shared" ref="G102:N102" si="85">SUM(G103:G105)</f>
        <v>161579.70000000001</v>
      </c>
      <c r="H102" s="44">
        <f t="shared" si="85"/>
        <v>184715.8</v>
      </c>
      <c r="I102" s="44">
        <f t="shared" si="85"/>
        <v>164674.40000000002</v>
      </c>
      <c r="J102" s="44">
        <f t="shared" si="85"/>
        <v>151364</v>
      </c>
      <c r="K102" s="44">
        <f t="shared" si="85"/>
        <v>152658.70000000001</v>
      </c>
      <c r="L102" s="44">
        <f t="shared" si="85"/>
        <v>252932.80000000002</v>
      </c>
      <c r="M102" s="44">
        <f t="shared" ref="M102" si="86">SUM(M103:M105)</f>
        <v>210836.3</v>
      </c>
      <c r="N102" s="44">
        <f t="shared" si="85"/>
        <v>227394.00000000006</v>
      </c>
      <c r="O102" s="80"/>
      <c r="P102" s="84"/>
      <c r="Q102" s="13"/>
    </row>
    <row r="103" spans="1:17" x14ac:dyDescent="0.2">
      <c r="A103" s="81"/>
      <c r="B103" s="82" t="s">
        <v>22</v>
      </c>
      <c r="C103" s="81"/>
      <c r="D103" s="83"/>
      <c r="E103" s="44">
        <f t="shared" si="73"/>
        <v>1478872.0999999999</v>
      </c>
      <c r="F103" s="44">
        <f t="shared" ref="F103:K103" si="87">F34+F45+F60+F72+F77+F84+F90+F96</f>
        <v>114925.79999999999</v>
      </c>
      <c r="G103" s="44">
        <f t="shared" si="87"/>
        <v>142691.70000000001</v>
      </c>
      <c r="H103" s="44">
        <f t="shared" si="87"/>
        <v>155436.69999999998</v>
      </c>
      <c r="I103" s="44">
        <f t="shared" si="87"/>
        <v>137921.20000000001</v>
      </c>
      <c r="J103" s="44">
        <f t="shared" si="87"/>
        <v>123490.5</v>
      </c>
      <c r="K103" s="44">
        <f t="shared" si="87"/>
        <v>134994.6</v>
      </c>
      <c r="L103" s="44">
        <f>L34+L45+L60+L72+L77+L84+L90+L96+L100</f>
        <v>236712.90000000002</v>
      </c>
      <c r="M103" s="44">
        <f>M34+M45+M60+M72+M77+M84+M90+M96+M100</f>
        <v>206698.9</v>
      </c>
      <c r="N103" s="44">
        <f>N34+N45+N60+N72+N77+N84+N90+N96+N100</f>
        <v>225999.80000000005</v>
      </c>
      <c r="O103" s="80"/>
      <c r="P103" s="84"/>
      <c r="Q103" s="13"/>
    </row>
    <row r="104" spans="1:17" ht="24" x14ac:dyDescent="0.2">
      <c r="A104" s="81"/>
      <c r="B104" s="82" t="s">
        <v>68</v>
      </c>
      <c r="C104" s="81"/>
      <c r="D104" s="83"/>
      <c r="E104" s="44">
        <f t="shared" ref="E104:E105" si="88">SUM(F104:N104)</f>
        <v>48218.5</v>
      </c>
      <c r="F104" s="44">
        <f t="shared" ref="F104:N104" si="89">F59</f>
        <v>12263.4</v>
      </c>
      <c r="G104" s="44">
        <f t="shared" si="89"/>
        <v>14955.1</v>
      </c>
      <c r="H104" s="44">
        <f t="shared" si="89"/>
        <v>21000</v>
      </c>
      <c r="I104" s="44">
        <f t="shared" si="89"/>
        <v>0</v>
      </c>
      <c r="J104" s="44">
        <f t="shared" si="89"/>
        <v>0</v>
      </c>
      <c r="K104" s="44">
        <f t="shared" si="89"/>
        <v>0</v>
      </c>
      <c r="L104" s="44">
        <f t="shared" si="89"/>
        <v>0</v>
      </c>
      <c r="M104" s="44">
        <f t="shared" ref="M104" si="90">M59</f>
        <v>0</v>
      </c>
      <c r="N104" s="44">
        <f t="shared" si="89"/>
        <v>0</v>
      </c>
      <c r="O104" s="80"/>
      <c r="P104" s="84"/>
      <c r="Q104" s="13"/>
    </row>
    <row r="105" spans="1:17" ht="24" x14ac:dyDescent="0.2">
      <c r="A105" s="81"/>
      <c r="B105" s="82" t="s">
        <v>121</v>
      </c>
      <c r="C105" s="81"/>
      <c r="D105" s="83"/>
      <c r="E105" s="44">
        <f t="shared" si="88"/>
        <v>106997.2</v>
      </c>
      <c r="F105" s="44">
        <f t="shared" ref="F105:N105" si="91">F33+F44+F58</f>
        <v>742.9</v>
      </c>
      <c r="G105" s="44">
        <f t="shared" si="91"/>
        <v>3932.9</v>
      </c>
      <c r="H105" s="44">
        <f t="shared" si="91"/>
        <v>8279.1</v>
      </c>
      <c r="I105" s="44">
        <f t="shared" si="91"/>
        <v>26753.200000000001</v>
      </c>
      <c r="J105" s="44">
        <f t="shared" si="91"/>
        <v>27873.5</v>
      </c>
      <c r="K105" s="44">
        <f t="shared" si="91"/>
        <v>17664.099999999999</v>
      </c>
      <c r="L105" s="44">
        <f t="shared" si="91"/>
        <v>16219.900000000001</v>
      </c>
      <c r="M105" s="44">
        <f t="shared" ref="M105" si="92">M33+M44+M58</f>
        <v>4137.3999999999996</v>
      </c>
      <c r="N105" s="44">
        <f t="shared" si="91"/>
        <v>1394.2</v>
      </c>
      <c r="O105" s="80"/>
      <c r="P105" s="84"/>
      <c r="Q105" s="13"/>
    </row>
    <row r="106" spans="1:17" x14ac:dyDescent="0.2">
      <c r="A106" s="62"/>
      <c r="B106" s="63" t="s">
        <v>41</v>
      </c>
      <c r="C106" s="64"/>
      <c r="D106" s="65"/>
      <c r="E106" s="47">
        <f>SUM(E107:E110)</f>
        <v>1756874.1</v>
      </c>
      <c r="F106" s="47">
        <f>SUM(F107:F110)</f>
        <v>127932.09999999998</v>
      </c>
      <c r="G106" s="47">
        <f t="shared" ref="G106:N106" si="93">SUM(G107:G110)</f>
        <v>177579.7</v>
      </c>
      <c r="H106" s="47">
        <f t="shared" si="93"/>
        <v>216315.8</v>
      </c>
      <c r="I106" s="47">
        <f t="shared" si="93"/>
        <v>207474.40000000002</v>
      </c>
      <c r="J106" s="47">
        <f t="shared" si="93"/>
        <v>165650</v>
      </c>
      <c r="K106" s="47">
        <f t="shared" si="93"/>
        <v>170759</v>
      </c>
      <c r="L106" s="47">
        <f t="shared" si="93"/>
        <v>252932.80000000002</v>
      </c>
      <c r="M106" s="47">
        <f t="shared" ref="M106" si="94">SUM(M107:M110)</f>
        <v>210836.3</v>
      </c>
      <c r="N106" s="47">
        <f t="shared" si="93"/>
        <v>227394.00000000006</v>
      </c>
      <c r="O106" s="96"/>
      <c r="P106" s="96"/>
    </row>
    <row r="107" spans="1:17" x14ac:dyDescent="0.2">
      <c r="A107" s="48"/>
      <c r="B107" s="49" t="s">
        <v>22</v>
      </c>
      <c r="C107" s="48"/>
      <c r="D107" s="50"/>
      <c r="E107" s="51">
        <f>SUM(F107:N107)</f>
        <v>1488314.8</v>
      </c>
      <c r="F107" s="51">
        <f t="shared" ref="F107:N107" si="95">F30+F103</f>
        <v>114925.79999999999</v>
      </c>
      <c r="G107" s="51">
        <f t="shared" si="95"/>
        <v>143691.70000000001</v>
      </c>
      <c r="H107" s="51">
        <f t="shared" si="95"/>
        <v>157036.69999999998</v>
      </c>
      <c r="I107" s="51">
        <f t="shared" si="95"/>
        <v>141774.20000000001</v>
      </c>
      <c r="J107" s="51">
        <f t="shared" si="95"/>
        <v>124776.5</v>
      </c>
      <c r="K107" s="51">
        <f t="shared" si="95"/>
        <v>136698.30000000002</v>
      </c>
      <c r="L107" s="51">
        <f t="shared" si="95"/>
        <v>236712.90000000002</v>
      </c>
      <c r="M107" s="51">
        <f t="shared" ref="M107" si="96">M30+M103</f>
        <v>206698.9</v>
      </c>
      <c r="N107" s="51">
        <f t="shared" si="95"/>
        <v>225999.80000000005</v>
      </c>
      <c r="O107" s="97"/>
      <c r="P107" s="97"/>
    </row>
    <row r="108" spans="1:17" x14ac:dyDescent="0.2">
      <c r="A108" s="48"/>
      <c r="B108" s="49" t="s">
        <v>95</v>
      </c>
      <c r="C108" s="48"/>
      <c r="D108" s="50"/>
      <c r="E108" s="51">
        <f t="shared" ref="E108:E109" si="97">SUM(F108:N108)</f>
        <v>36127.599999999999</v>
      </c>
      <c r="F108" s="51">
        <f t="shared" ref="F108:N108" si="98">F28</f>
        <v>0</v>
      </c>
      <c r="G108" s="51">
        <f t="shared" si="98"/>
        <v>3495</v>
      </c>
      <c r="H108" s="51">
        <f t="shared" si="98"/>
        <v>10560</v>
      </c>
      <c r="I108" s="51">
        <f t="shared" si="98"/>
        <v>12852.5</v>
      </c>
      <c r="J108" s="51">
        <f t="shared" si="98"/>
        <v>4071.6</v>
      </c>
      <c r="K108" s="51">
        <f t="shared" si="98"/>
        <v>5148.5</v>
      </c>
      <c r="L108" s="51">
        <f t="shared" si="98"/>
        <v>0</v>
      </c>
      <c r="M108" s="51">
        <f t="shared" ref="M108" si="99">M28</f>
        <v>0</v>
      </c>
      <c r="N108" s="51">
        <f t="shared" si="98"/>
        <v>0</v>
      </c>
      <c r="O108" s="97"/>
      <c r="P108" s="97"/>
    </row>
    <row r="109" spans="1:17" ht="24" x14ac:dyDescent="0.2">
      <c r="A109" s="45"/>
      <c r="B109" s="46" t="s">
        <v>68</v>
      </c>
      <c r="C109" s="45"/>
      <c r="D109" s="52"/>
      <c r="E109" s="51">
        <f t="shared" si="97"/>
        <v>48218.5</v>
      </c>
      <c r="F109" s="53">
        <f>F104</f>
        <v>12263.4</v>
      </c>
      <c r="G109" s="53">
        <f t="shared" ref="G109:N109" si="100">G104</f>
        <v>14955.1</v>
      </c>
      <c r="H109" s="53">
        <f t="shared" si="100"/>
        <v>21000</v>
      </c>
      <c r="I109" s="53">
        <f t="shared" si="100"/>
        <v>0</v>
      </c>
      <c r="J109" s="53">
        <f t="shared" si="100"/>
        <v>0</v>
      </c>
      <c r="K109" s="53">
        <f t="shared" si="100"/>
        <v>0</v>
      </c>
      <c r="L109" s="53">
        <f t="shared" si="100"/>
        <v>0</v>
      </c>
      <c r="M109" s="53">
        <f t="shared" ref="M109" si="101">M104</f>
        <v>0</v>
      </c>
      <c r="N109" s="53">
        <f t="shared" si="100"/>
        <v>0</v>
      </c>
      <c r="O109" s="97"/>
      <c r="P109" s="97"/>
    </row>
    <row r="110" spans="1:17" ht="24" x14ac:dyDescent="0.2">
      <c r="A110" s="85"/>
      <c r="B110" s="86" t="s">
        <v>121</v>
      </c>
      <c r="C110" s="85"/>
      <c r="D110" s="87"/>
      <c r="E110" s="51">
        <f>SUM(F110:N110)</f>
        <v>184213.2</v>
      </c>
      <c r="F110" s="51">
        <f t="shared" ref="F110:N110" si="102">F29+F105</f>
        <v>742.9</v>
      </c>
      <c r="G110" s="51">
        <f t="shared" si="102"/>
        <v>15437.9</v>
      </c>
      <c r="H110" s="51">
        <f t="shared" si="102"/>
        <v>27719.1</v>
      </c>
      <c r="I110" s="51">
        <f t="shared" si="102"/>
        <v>52847.7</v>
      </c>
      <c r="J110" s="51">
        <f t="shared" si="102"/>
        <v>36801.9</v>
      </c>
      <c r="K110" s="51">
        <f t="shared" si="102"/>
        <v>28912.199999999997</v>
      </c>
      <c r="L110" s="51">
        <f t="shared" si="102"/>
        <v>16219.900000000001</v>
      </c>
      <c r="M110" s="51">
        <f t="shared" ref="M110" si="103">M29+M105</f>
        <v>4137.3999999999996</v>
      </c>
      <c r="N110" s="51">
        <f t="shared" si="102"/>
        <v>1394.2</v>
      </c>
      <c r="O110" s="97"/>
      <c r="P110" s="97"/>
    </row>
    <row r="111" spans="1:17" ht="37.5" customHeight="1" x14ac:dyDescent="0.2"/>
    <row r="112" spans="1:17" ht="76.5" customHeight="1" x14ac:dyDescent="0.2"/>
    <row r="113" spans="1:16" ht="44.25" customHeight="1" x14ac:dyDescent="0.2"/>
    <row r="114" spans="1:16" s="12" customFormat="1" ht="21.75" customHeight="1" x14ac:dyDescent="0.2">
      <c r="A114" s="3"/>
      <c r="B114" s="3"/>
      <c r="C114" s="3"/>
      <c r="D114" s="3"/>
      <c r="E114" s="3"/>
      <c r="F114" s="3"/>
      <c r="G114" s="3"/>
      <c r="H114" s="11"/>
      <c r="I114" s="11"/>
      <c r="J114" s="11"/>
      <c r="K114" s="11"/>
      <c r="L114" s="11"/>
      <c r="M114" s="11"/>
      <c r="N114" s="11"/>
      <c r="O114" s="3"/>
      <c r="P114" s="3"/>
    </row>
    <row r="115" spans="1:16" ht="25.5" customHeight="1" x14ac:dyDescent="0.2"/>
    <row r="116" spans="1:16" ht="33" customHeight="1" x14ac:dyDescent="0.2"/>
    <row r="117" spans="1:16" ht="42.75" customHeight="1" x14ac:dyDescent="0.2"/>
    <row r="118" spans="1:16" ht="13.5" customHeight="1" x14ac:dyDescent="0.2"/>
    <row r="119" spans="1:16" ht="42.75" customHeight="1" x14ac:dyDescent="0.2"/>
    <row r="120" spans="1:16" ht="20.100000000000001" customHeight="1" x14ac:dyDescent="0.2"/>
  </sheetData>
  <mergeCells count="110">
    <mergeCell ref="D23:D26"/>
    <mergeCell ref="D76:D77"/>
    <mergeCell ref="D19:D22"/>
    <mergeCell ref="D32:D34"/>
    <mergeCell ref="A19:A22"/>
    <mergeCell ref="B19:B22"/>
    <mergeCell ref="A18:P18"/>
    <mergeCell ref="O27:O30"/>
    <mergeCell ref="P27:P30"/>
    <mergeCell ref="P52:P53"/>
    <mergeCell ref="A54:A55"/>
    <mergeCell ref="B54:B55"/>
    <mergeCell ref="P39:P40"/>
    <mergeCell ref="A35:A36"/>
    <mergeCell ref="B35:B36"/>
    <mergeCell ref="O35:O36"/>
    <mergeCell ref="P35:P36"/>
    <mergeCell ref="O54:O55"/>
    <mergeCell ref="O57:O60"/>
    <mergeCell ref="D43:D45"/>
    <mergeCell ref="B50:B51"/>
    <mergeCell ref="P89:P90"/>
    <mergeCell ref="O19:O22"/>
    <mergeCell ref="A99:A100"/>
    <mergeCell ref="B99:B100"/>
    <mergeCell ref="D99:D100"/>
    <mergeCell ref="P95:P96"/>
    <mergeCell ref="D35:D36"/>
    <mergeCell ref="O23:O26"/>
    <mergeCell ref="P23:P26"/>
    <mergeCell ref="A89:A90"/>
    <mergeCell ref="B89:B90"/>
    <mergeCell ref="O89:O90"/>
    <mergeCell ref="A95:A96"/>
    <mergeCell ref="B95:B96"/>
    <mergeCell ref="O95:O96"/>
    <mergeCell ref="P19:P22"/>
    <mergeCell ref="A23:A26"/>
    <mergeCell ref="B23:B26"/>
    <mergeCell ref="P66:P68"/>
    <mergeCell ref="A66:A68"/>
    <mergeCell ref="B66:B68"/>
    <mergeCell ref="A39:A40"/>
    <mergeCell ref="B39:B40"/>
    <mergeCell ref="O39:O40"/>
    <mergeCell ref="G1:P1"/>
    <mergeCell ref="G4:P4"/>
    <mergeCell ref="A14:P14"/>
    <mergeCell ref="O15:O16"/>
    <mergeCell ref="E15:E16"/>
    <mergeCell ref="D15:D16"/>
    <mergeCell ref="B15:B16"/>
    <mergeCell ref="G2:P2"/>
    <mergeCell ref="A11:P11"/>
    <mergeCell ref="A12:P12"/>
    <mergeCell ref="A13:P13"/>
    <mergeCell ref="F15:N15"/>
    <mergeCell ref="G3:P3"/>
    <mergeCell ref="P15:P16"/>
    <mergeCell ref="C15:C16"/>
    <mergeCell ref="A15:A16"/>
    <mergeCell ref="M5:P8"/>
    <mergeCell ref="R70:V70"/>
    <mergeCell ref="R35:U35"/>
    <mergeCell ref="R37:U37"/>
    <mergeCell ref="A41:A42"/>
    <mergeCell ref="B41:B42"/>
    <mergeCell ref="O41:O42"/>
    <mergeCell ref="P41:P42"/>
    <mergeCell ref="A43:A45"/>
    <mergeCell ref="B43:B45"/>
    <mergeCell ref="O43:O45"/>
    <mergeCell ref="P43:P45"/>
    <mergeCell ref="O66:O68"/>
    <mergeCell ref="A57:A60"/>
    <mergeCell ref="B57:B60"/>
    <mergeCell ref="P57:P60"/>
    <mergeCell ref="P54:P55"/>
    <mergeCell ref="D39:D40"/>
    <mergeCell ref="D41:D42"/>
    <mergeCell ref="D54:D55"/>
    <mergeCell ref="D57:D60"/>
    <mergeCell ref="D66:D68"/>
    <mergeCell ref="A50:A51"/>
    <mergeCell ref="A52:A53"/>
    <mergeCell ref="B52:B53"/>
    <mergeCell ref="O106:O110"/>
    <mergeCell ref="P106:P110"/>
    <mergeCell ref="A31:P31"/>
    <mergeCell ref="A32:A34"/>
    <mergeCell ref="B32:B34"/>
    <mergeCell ref="O32:O34"/>
    <mergeCell ref="P32:P34"/>
    <mergeCell ref="A83:A84"/>
    <mergeCell ref="B83:B84"/>
    <mergeCell ref="O83:O84"/>
    <mergeCell ref="P83:P84"/>
    <mergeCell ref="O50:O51"/>
    <mergeCell ref="P50:P51"/>
    <mergeCell ref="A76:A77"/>
    <mergeCell ref="B76:B77"/>
    <mergeCell ref="P76:P77"/>
    <mergeCell ref="O76:O77"/>
    <mergeCell ref="A71:A72"/>
    <mergeCell ref="B71:B72"/>
    <mergeCell ref="D71:D72"/>
    <mergeCell ref="D83:D84"/>
    <mergeCell ref="D89:D90"/>
    <mergeCell ref="D95:D96"/>
    <mergeCell ref="O52:O53"/>
  </mergeCells>
  <phoneticPr fontId="0" type="noConversion"/>
  <pageMargins left="0.23622047244094491" right="0" top="0.59055118110236227" bottom="0.35433070866141736" header="0.74803149606299213" footer="0.51181102362204722"/>
  <pageSetup paperSize="9" scale="84" fitToHeight="7" orientation="landscape" r:id="rId1"/>
  <headerFooter alignWithMargins="0"/>
  <rowBreaks count="4" manualBreakCount="4">
    <brk id="51" max="15" man="1"/>
    <brk id="78" max="15" man="1"/>
    <brk id="88" max="15" man="1"/>
    <brk id="98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Олег Лещёв</cp:lastModifiedBy>
  <cp:lastPrinted>2023-06-16T09:54:55Z</cp:lastPrinted>
  <dcterms:created xsi:type="dcterms:W3CDTF">1996-10-08T23:32:33Z</dcterms:created>
  <dcterms:modified xsi:type="dcterms:W3CDTF">2023-06-29T11:49:32Z</dcterms:modified>
</cp:coreProperties>
</file>